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628" windowHeight="8220" activeTab="0"/>
  </bookViews>
  <sheets>
    <sheet name="NSPS Computations" sheetId="1" r:id="rId1"/>
    <sheet name="Maximum Impervious Cover Table" sheetId="2" r:id="rId2"/>
    <sheet name="Site Comparison Table" sheetId="3" r:id="rId3"/>
    <sheet name="Data and Formulas" sheetId="4" r:id="rId4"/>
    <sheet name="Planning Area Points" sheetId="5" r:id="rId5"/>
    <sheet name="Impervious Effects" sheetId="6" r:id="rId6"/>
    <sheet name="Disturbance Effects" sheetId="7" r:id="rId7"/>
  </sheets>
  <definedNames>
    <definedName name="Answers">'Data and Formulas'!$B$56:$B$57</definedName>
    <definedName name="_xlnm.Print_Area" localSheetId="3">'Data and Formulas'!$A$1:$M$79</definedName>
    <definedName name="_xlnm.Print_Area" localSheetId="0">'NSPS Computations'!$A$1:$I$172</definedName>
  </definedNames>
  <calcPr fullCalcOnLoad="1"/>
</workbook>
</file>

<file path=xl/sharedStrings.xml><?xml version="1.0" encoding="utf-8"?>
<sst xmlns="http://schemas.openxmlformats.org/spreadsheetml/2006/main" count="307" uniqueCount="173">
  <si>
    <t>Points</t>
  </si>
  <si>
    <t>HSG A</t>
  </si>
  <si>
    <t>HSG B</t>
  </si>
  <si>
    <t>HSG C</t>
  </si>
  <si>
    <t>HSG D</t>
  </si>
  <si>
    <t>Directly Connected Impervious</t>
  </si>
  <si>
    <t>Lawn and Open Space</t>
  </si>
  <si>
    <t>Gravel and Dirt</t>
  </si>
  <si>
    <t>Meadow, Pasture, Grassland, or Range</t>
  </si>
  <si>
    <t>Brush and Shrub</t>
  </si>
  <si>
    <t>Row Crop</t>
  </si>
  <si>
    <t>Small Grain and Legumes</t>
  </si>
  <si>
    <t>Porous and Permeable Paving</t>
  </si>
  <si>
    <t>Site Segment</t>
  </si>
  <si>
    <t>Land Use/Cover Descriptions:</t>
  </si>
  <si>
    <t>Land Use/Land Cover Description</t>
  </si>
  <si>
    <t>Use/Cover Subtotals</t>
  </si>
  <si>
    <t>Total Proposed Site Disturbance =</t>
  </si>
  <si>
    <t>Groundwater Recharge Standards (NJAC 7:8-5.4-a-2):</t>
  </si>
  <si>
    <t>Yes</t>
  </si>
  <si>
    <t>No</t>
  </si>
  <si>
    <t>A</t>
  </si>
  <si>
    <t>B</t>
  </si>
  <si>
    <t>C</t>
  </si>
  <si>
    <t>D</t>
  </si>
  <si>
    <t>Woods and Grass Combination</t>
  </si>
  <si>
    <t>Factor =</t>
  </si>
  <si>
    <t>Woods - Indigenous</t>
  </si>
  <si>
    <t>Woods - Planted</t>
  </si>
  <si>
    <t>Step 2 - Describe Existing or Pre-Developed Site Conditions</t>
  </si>
  <si>
    <t>Step 3 - Describe Proposed or Post-Developed Site Conditions</t>
  </si>
  <si>
    <t>Acres</t>
  </si>
  <si>
    <t>State Plan Planning Area:</t>
  </si>
  <si>
    <t>PA-1</t>
  </si>
  <si>
    <t>PA-2</t>
  </si>
  <si>
    <t>PA-3</t>
  </si>
  <si>
    <t>PA-4</t>
  </si>
  <si>
    <t>PA-4B</t>
  </si>
  <si>
    <t>PA-5</t>
  </si>
  <si>
    <t>Lot Size</t>
  </si>
  <si>
    <t>&lt; 2 Acres</t>
  </si>
  <si>
    <t>&gt;10 Acres</t>
  </si>
  <si>
    <t>2-10 Acres</t>
  </si>
  <si>
    <t>Specify Land Use/Land Cover in Acres for Each HSG</t>
  </si>
  <si>
    <t>% of Allowable</t>
  </si>
  <si>
    <t>Project:</t>
  </si>
  <si>
    <t>Date:</t>
  </si>
  <si>
    <t>Notes:</t>
  </si>
  <si>
    <t xml:space="preserve"> </t>
  </si>
  <si>
    <t>Percent of Each Planning Area within Site:</t>
  </si>
  <si>
    <t>Unconnected Impervious with Large D/S Pervious</t>
  </si>
  <si>
    <t>Unconnected Impervious with Small D/S Pervious</t>
  </si>
  <si>
    <t>Planning Area Factors:</t>
  </si>
  <si>
    <t>Total % Area</t>
  </si>
  <si>
    <t>% of Total Points</t>
  </si>
  <si>
    <t>% of Maximum Points</t>
  </si>
  <si>
    <t>Change (Acres)</t>
  </si>
  <si>
    <t>Existing Points</t>
  </si>
  <si>
    <t>Proposed Points</t>
  </si>
  <si>
    <t>Total Points =</t>
  </si>
  <si>
    <t>Change in Points</t>
  </si>
  <si>
    <t>Proposed Area (Acres)</t>
  </si>
  <si>
    <t>Existing   Area (Acres)</t>
  </si>
  <si>
    <t>Total Point Difference =</t>
  </si>
  <si>
    <t>Nonstructural Point System Results:</t>
  </si>
  <si>
    <t xml:space="preserve">Length of Vegetated Runoff Conveyance System = </t>
  </si>
  <si>
    <t>% of Total Runoff Conveyance System That is Vegetated =</t>
  </si>
  <si>
    <t>Ponds, Lakes, and Other Open Water</t>
  </si>
  <si>
    <t xml:space="preserve">       1/8 Acres or Less</t>
  </si>
  <si>
    <t xml:space="preserve">       Greater than 1/8 to 1/4 Acre</t>
  </si>
  <si>
    <t xml:space="preserve">       Greater than 1/4 to 1/3 Acre</t>
  </si>
  <si>
    <t xml:space="preserve">       Greater than 1/3 to 1/2 Acre</t>
  </si>
  <si>
    <t xml:space="preserve">       Greater than 1/2 to 1 Acre</t>
  </si>
  <si>
    <t xml:space="preserve">       Greater than 1 to 2 Acres</t>
  </si>
  <si>
    <t xml:space="preserve">       Greater than 2 Acres</t>
  </si>
  <si>
    <t xml:space="preserve">Land Use Zone </t>
  </si>
  <si>
    <t>Total Site Area:</t>
  </si>
  <si>
    <t>None</t>
  </si>
  <si>
    <t>Total</t>
  </si>
  <si>
    <t>System Points, Factors, and Equations</t>
  </si>
  <si>
    <t>Land Use/Land Cover Points</t>
  </si>
  <si>
    <t>Planning Area Points</t>
  </si>
  <si>
    <t>Effects of Site Disturbance</t>
  </si>
  <si>
    <t xml:space="preserve">Specify Source of Maximum Allowable Impervious Coverage:   </t>
  </si>
  <si>
    <t>Total Directly Connected Impervious Coverage =</t>
  </si>
  <si>
    <t>Total Unconnected Impervious Coverage with Small D/S Pervious =</t>
  </si>
  <si>
    <t xml:space="preserve">Total Unconnected Impervious Coverage with Large D/S Pervious = </t>
  </si>
  <si>
    <t>Total Site Impervious Coverage =</t>
  </si>
  <si>
    <t>Effective Site Impervious Coverage =</t>
  </si>
  <si>
    <t xml:space="preserve">Maximum Allowable Site Disturbance by Municipal Ordinance = </t>
  </si>
  <si>
    <t>Step 1 - Provide Basic Major Development Site Information</t>
  </si>
  <si>
    <t xml:space="preserve">Total Length of Runoff Conveyance System = </t>
  </si>
  <si>
    <t xml:space="preserve">Percent of Total Site Area that will be Clustered = </t>
  </si>
  <si>
    <t>Maximum Proposed Cluster Lot Size (Note:1/4 Acre or Less) =</t>
  </si>
  <si>
    <t xml:space="preserve">   % of Clustered Site Portion</t>
  </si>
  <si>
    <t>Percent of Proposed Lawn Areas to be Graded with Such Equipment:</t>
  </si>
  <si>
    <t xml:space="preserve">   Acres</t>
  </si>
  <si>
    <t xml:space="preserve">   % of Site</t>
  </si>
  <si>
    <t xml:space="preserve">   Feet</t>
  </si>
  <si>
    <t xml:space="preserve">   (Yes or No)</t>
  </si>
  <si>
    <t xml:space="preserve">   % of Lawn Areas</t>
  </si>
  <si>
    <t>Proposed Lawn Areas will be Graded with Lightweight Construction Equipment:</t>
  </si>
  <si>
    <t>Compute Weighting Factor for Non-Land Cover Points Based Upon Relative %</t>
  </si>
  <si>
    <t>of Pre-Developed HSG A, B, C, and D Soils at Site:</t>
  </si>
  <si>
    <t xml:space="preserve">Unconnected Impervious with Small D/S </t>
  </si>
  <si>
    <t xml:space="preserve">Unconnected Impervious with Large D/S </t>
  </si>
  <si>
    <t xml:space="preserve">Compute Weighting Factor for Non-Land Cover Points Based Upon Relative % </t>
  </si>
  <si>
    <t>of Post-Developed HSG A, B, C, and D Soils at Site:</t>
  </si>
  <si>
    <t>Site Area</t>
  </si>
  <si>
    <t>Directly Connected</t>
  </si>
  <si>
    <t>Small Unconnected</t>
  </si>
  <si>
    <t>Large Unconnected</t>
  </si>
  <si>
    <t>Target Point Difference =</t>
  </si>
  <si>
    <t xml:space="preserve"> Single Family Residential:</t>
  </si>
  <si>
    <t xml:space="preserve"> Commercial</t>
  </si>
  <si>
    <t xml:space="preserve"> Business</t>
  </si>
  <si>
    <t xml:space="preserve"> Industrial</t>
  </si>
  <si>
    <t xml:space="preserve"> Institutional </t>
  </si>
  <si>
    <t xml:space="preserve"> Multi-Family Residential</t>
  </si>
  <si>
    <t>Minimum Standard Lot Size as Per Zoning (Note: 1/2 Acre or Greater) =</t>
  </si>
  <si>
    <t xml:space="preserve">Version: </t>
  </si>
  <si>
    <t>Pre- and Post-Developed Site Comparison Table</t>
  </si>
  <si>
    <t>Zone Area (Acres)</t>
  </si>
  <si>
    <t xml:space="preserve">Total Zone Areas (Acres) = </t>
  </si>
  <si>
    <t>that is similar to the actual land use.</t>
  </si>
  <si>
    <t>Area (Acres) =</t>
  </si>
  <si>
    <r>
      <t xml:space="preserve">Note:  Input Values in </t>
    </r>
    <r>
      <rPr>
        <b/>
        <sz val="12"/>
        <color indexed="8"/>
        <rFont val="Arial"/>
        <family val="2"/>
      </rPr>
      <t>Yellow</t>
    </r>
    <r>
      <rPr>
        <b/>
        <sz val="12"/>
        <rFont val="Arial"/>
        <family val="2"/>
      </rPr>
      <t xml:space="preserve"> Cells Only</t>
    </r>
  </si>
  <si>
    <t xml:space="preserve">Date:  </t>
  </si>
  <si>
    <t xml:space="preserve">Total Site Area:  </t>
  </si>
  <si>
    <t xml:space="preserve">  Acres</t>
  </si>
  <si>
    <t xml:space="preserve">Project:  </t>
  </si>
  <si>
    <t>Additional Points for Other Nonstructural Measures =</t>
  </si>
  <si>
    <t>Wetlands and Undisturbed Stream Buffers</t>
  </si>
  <si>
    <t>B. Specify by Percent the Various Planning Areas Located within the Development Site:</t>
  </si>
  <si>
    <t>A. Specify Existing Land Use/Land Cover Descriptions and Areas:</t>
  </si>
  <si>
    <t>A. Specify Proposed Land Use/Land Cover Descriptions and Areas:</t>
  </si>
  <si>
    <t>B. Compare Proposed Impervious Coverage with Maximum Allowable Impervious Coverage:</t>
  </si>
  <si>
    <t>C. Compare Proposed Site Disturbance with Maximum Allowable Site Disturbance:</t>
  </si>
  <si>
    <t>D. Describe Proposed Runoff Conveyance System:</t>
  </si>
  <si>
    <t>Effects of Various Types of Site Impervious Covers</t>
  </si>
  <si>
    <t>Maximum Impervious Cover Table</t>
  </si>
  <si>
    <t>Maximum % Impervious</t>
  </si>
  <si>
    <r>
      <t>Note:</t>
    </r>
    <r>
      <rPr>
        <sz val="10"/>
        <rFont val="Arial"/>
        <family val="2"/>
      </rPr>
      <t xml:space="preserve">  In order to compute a maximum impervious cover value, the sum of the Total Zone Areas in Cells C26 and E26</t>
    </r>
  </si>
  <si>
    <t xml:space="preserve">Maximum % Impervious = </t>
  </si>
  <si>
    <t>NJDEP Nonstructural Strategies Points System (NSPS)</t>
  </si>
  <si>
    <t>Table</t>
  </si>
  <si>
    <t xml:space="preserve">HSG Subtotals (Acres):  </t>
  </si>
  <si>
    <t xml:space="preserve">HSG Subtotals (%):  </t>
  </si>
  <si>
    <t xml:space="preserve">Total Area:  </t>
  </si>
  <si>
    <t xml:space="preserve">Total % Area:  </t>
  </si>
  <si>
    <t xml:space="preserve">Points Subtotal:  </t>
  </si>
  <si>
    <t xml:space="preserve">Total Existing Site Points:  </t>
  </si>
  <si>
    <t xml:space="preserve">Total Proposed Site Points:  </t>
  </si>
  <si>
    <t xml:space="preserve">Ratio of Proposed to Existing Site Points:  </t>
  </si>
  <si>
    <t xml:space="preserve">Required Site Points Ratio:  </t>
  </si>
  <si>
    <t>User:</t>
  </si>
  <si>
    <t xml:space="preserve"> (None or Table)</t>
  </si>
  <si>
    <t>must equal the Total Site Area shown in Cell B7.  Therefore, the entire Site Area must be characterized by the Land Use</t>
  </si>
  <si>
    <t>Zones listed in Cells A9 to A21.  If an actual site land use zone is not listed, select a Land Use Zone that has a Maximum %</t>
  </si>
  <si>
    <t>E. Residential Lot Clustering:</t>
  </si>
  <si>
    <t>Percent of Clustered Portion of Site to be Preserved as Vegetated Open Space =</t>
  </si>
  <si>
    <t>F. Will the Following be Utilized to Minimize Soil Compaction?</t>
  </si>
  <si>
    <t xml:space="preserve">G. Are Any of the Following Stormwater Management Standards Met Using Only Nonstructural Strategies and Measures? </t>
  </si>
  <si>
    <t>Note: If the Answers to All Three Questions at G Above are "Yes", Adequate Nonstructural Measures have been Utilized.</t>
  </si>
  <si>
    <t>Answers to Questions for F and G (see NSPS Computations Worksheet)</t>
  </si>
  <si>
    <t>Points for Question G (See NSPS Computations Worksheet)</t>
  </si>
  <si>
    <t>Points for Question F (See NSPS Computations Worksheet)</t>
  </si>
  <si>
    <t>Stormwater Runoff Quantity Standards (NJAC 7:8-5.4-a-3):</t>
  </si>
  <si>
    <t>Stormwater Runoff Quality Standards (NJAC 7:8-5.5):</t>
  </si>
  <si>
    <r>
      <t xml:space="preserve">      </t>
    </r>
    <r>
      <rPr>
        <b/>
        <u val="single"/>
        <sz val="10"/>
        <color indexed="8"/>
        <rFont val="Arial"/>
        <family val="2"/>
      </rPr>
      <t>Note</t>
    </r>
    <r>
      <rPr>
        <b/>
        <sz val="10"/>
        <color indexed="8"/>
        <rFont val="Arial"/>
        <family val="2"/>
      </rPr>
      <t>:  See User's Guide for Equivalent Zones within Designated Centers and the NJ Meadowlands, Pinelands, and Highlands Districts</t>
    </r>
  </si>
  <si>
    <t xml:space="preserve">A. Specify Total Area in Acres of Development Site Described in Steps 2 and 3 = </t>
  </si>
  <si>
    <t>Planning Areas PA-1 and PA-2</t>
  </si>
  <si>
    <t>Planning Areas PA-3, PA-4, PA-4B, and PA-5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</si>
</sst>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"/>
    <numFmt numFmtId="167" formatCode="0.000"/>
    <numFmt numFmtId="168" formatCode="0.00000"/>
    <numFmt numFmtId="169" formatCode="[$-409]h:mm:ss\ AM/PM"/>
    <numFmt numFmtId="170" formatCode="[$-409]dddd\,\ mmmm\ dd\,\ yyyy"/>
    <numFmt numFmtId="171" formatCode="[$-409]mmmm\ d\,\ 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u val="doubleAccounting"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.75"/>
      <color indexed="8"/>
      <name val="Arial"/>
      <family val="0"/>
    </font>
    <font>
      <sz val="7"/>
      <color indexed="8"/>
      <name val="Arial"/>
      <family val="0"/>
    </font>
    <font>
      <b/>
      <sz val="9.75"/>
      <color indexed="8"/>
      <name val="Arial"/>
      <family val="0"/>
    </font>
    <font>
      <b/>
      <sz val="16"/>
      <color indexed="8"/>
      <name val="Arial"/>
      <family val="0"/>
    </font>
    <font>
      <sz val="8.2"/>
      <color indexed="8"/>
      <name val="Arial"/>
      <family val="0"/>
    </font>
    <font>
      <sz val="14.75"/>
      <color indexed="8"/>
      <name val="Arial"/>
      <family val="0"/>
    </font>
    <font>
      <sz val="10"/>
      <color indexed="8"/>
      <name val="Arial"/>
      <family val="0"/>
    </font>
    <font>
      <sz val="7.55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33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9" fillId="33" borderId="10" xfId="0" applyNumberFormat="1" applyFont="1" applyFill="1" applyBorder="1" applyAlignment="1">
      <alignment horizontal="center"/>
    </xf>
    <xf numFmtId="9" fontId="9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9" fontId="4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165" fontId="4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9" fontId="1" fillId="33" borderId="1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9" fontId="14" fillId="0" borderId="0" xfId="0" applyNumberFormat="1" applyFont="1" applyFill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166" fontId="0" fillId="33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 quotePrefix="1">
      <alignment/>
    </xf>
    <xf numFmtId="9" fontId="0" fillId="0" borderId="0" xfId="0" applyNumberFormat="1" applyFont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9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171" fontId="9" fillId="0" borderId="0" xfId="0" applyNumberFormat="1" applyFont="1" applyAlignment="1">
      <alignment horizontal="left"/>
    </xf>
    <xf numFmtId="167" fontId="0" fillId="0" borderId="0" xfId="0" applyNumberFormat="1" applyAlignment="1">
      <alignment horizontal="right"/>
    </xf>
    <xf numFmtId="166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0" fillId="0" borderId="14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6" fontId="1" fillId="33" borderId="10" xfId="0" applyNumberFormat="1" applyFont="1" applyFill="1" applyBorder="1" applyAlignment="1">
      <alignment horizontal="center"/>
    </xf>
    <xf numFmtId="171" fontId="0" fillId="33" borderId="1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34" borderId="10" xfId="0" applyNumberFormat="1" applyFill="1" applyBorder="1" applyAlignment="1" applyProtection="1">
      <alignment horizontal="center"/>
      <protection locked="0"/>
    </xf>
    <xf numFmtId="164" fontId="0" fillId="34" borderId="10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9" fontId="0" fillId="34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 locked="0"/>
    </xf>
    <xf numFmtId="167" fontId="0" fillId="34" borderId="10" xfId="0" applyNumberFormat="1" applyFill="1" applyBorder="1" applyAlignment="1" applyProtection="1">
      <alignment horizontal="center"/>
      <protection locked="0"/>
    </xf>
    <xf numFmtId="0" fontId="0" fillId="34" borderId="17" xfId="0" applyFont="1" applyFill="1" applyBorder="1" applyAlignment="1" applyProtection="1">
      <alignment horizontal="left"/>
      <protection locked="0"/>
    </xf>
    <xf numFmtId="171" fontId="0" fillId="34" borderId="10" xfId="0" applyNumberFormat="1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9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171" fontId="0" fillId="33" borderId="17" xfId="0" applyNumberFormat="1" applyFill="1" applyBorder="1" applyAlignment="1">
      <alignment horizontal="center"/>
    </xf>
    <xf numFmtId="171" fontId="0" fillId="33" borderId="19" xfId="0" applyNumberForma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71" fontId="9" fillId="0" borderId="0" xfId="0" applyNumberFormat="1" applyFont="1" applyAlignment="1" quotePrefix="1">
      <alignment horizontal="right" readingOrder="2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readingOrder="2"/>
    </xf>
    <xf numFmtId="0" fontId="4" fillId="0" borderId="0" xfId="0" applyFont="1" applyAlignment="1">
      <alignment horizontal="center"/>
    </xf>
    <xf numFmtId="171" fontId="0" fillId="0" borderId="0" xfId="0" applyNumberFormat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Required Points by Planning Area and Site Size</a:t>
            </a:r>
          </a:p>
        </c:rich>
      </c:tx>
      <c:layout>
        <c:manualLayout>
          <c:xMode val="factor"/>
          <c:yMode val="factor"/>
          <c:x val="-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95"/>
          <c:w val="0.82175"/>
          <c:h val="0.73325"/>
        </c:manualLayout>
      </c:layout>
      <c:barChart>
        <c:barDir val="col"/>
        <c:grouping val="clustered"/>
        <c:varyColors val="0"/>
        <c:ser>
          <c:idx val="3"/>
          <c:order val="0"/>
          <c:tx>
            <c:v>&lt;2 Acres</c:v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'Planning Area Points'!$B$8:$G$8</c:f>
              <c:numCache/>
            </c:numRef>
          </c:val>
        </c:ser>
        <c:ser>
          <c:idx val="4"/>
          <c:order val="1"/>
          <c:tx>
            <c:v>2-10 Acres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'Planning Area Points'!$B$9:$G$9</c:f>
              <c:numCache/>
            </c:numRef>
          </c:val>
        </c:ser>
        <c:ser>
          <c:idx val="5"/>
          <c:order val="2"/>
          <c:tx>
            <c:v>&gt;10 Acres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'Planning Area Points'!$B$10:$G$10</c:f>
              <c:numCache/>
            </c:numRef>
          </c:val>
        </c:ser>
        <c:axId val="24079903"/>
        <c:axId val="15392536"/>
      </c:barChart>
      <c:catAx>
        <c:axId val="24079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Planning Area</a:t>
                </a:r>
              </a:p>
            </c:rich>
          </c:tx>
          <c:layout>
            <c:manualLayout>
              <c:xMode val="factor"/>
              <c:yMode val="factor"/>
              <c:x val="0.02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5392536"/>
        <c:crosses val="autoZero"/>
        <c:auto val="1"/>
        <c:lblOffset val="100"/>
        <c:tickLblSkip val="1"/>
        <c:noMultiLvlLbl val="0"/>
      </c:catAx>
      <c:valAx>
        <c:axId val="15392536"/>
        <c:scaling>
          <c:orientation val="minMax"/>
          <c:max val="1.2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Existing Points Required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9903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456"/>
          <c:w val="0.1075"/>
          <c:h val="0.1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Effects of Site Impervious Cover</a:t>
            </a:r>
          </a:p>
        </c:rich>
      </c:tx>
      <c:layout>
        <c:manualLayout>
          <c:xMode val="factor"/>
          <c:yMode val="factor"/>
          <c:x val="-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6175"/>
          <c:w val="0.64725"/>
          <c:h val="0.75275"/>
        </c:manualLayout>
      </c:layout>
      <c:scatterChart>
        <c:scatterStyle val="smoothMarker"/>
        <c:varyColors val="0"/>
        <c:ser>
          <c:idx val="0"/>
          <c:order val="0"/>
          <c:tx>
            <c:v>Directly Connected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'Impervious Effects'!$A$10:$A$20</c:f>
              <c:numCache/>
            </c:numRef>
          </c:xVal>
          <c:yVal>
            <c:numRef>
              <c:f>'Impervious Effects'!$B$10:$B$20</c:f>
              <c:numCache/>
            </c:numRef>
          </c:yVal>
          <c:smooth val="1"/>
        </c:ser>
        <c:ser>
          <c:idx val="1"/>
          <c:order val="1"/>
          <c:tx>
            <c:v>Unconnected with Small D/S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'Impervious Effects'!$D$10:$D$20</c:f>
              <c:numCache/>
            </c:numRef>
          </c:xVal>
          <c:yVal>
            <c:numRef>
              <c:f>'Impervious Effects'!$E$10:$E$20</c:f>
              <c:numCache/>
            </c:numRef>
          </c:yVal>
          <c:smooth val="1"/>
        </c:ser>
        <c:ser>
          <c:idx val="2"/>
          <c:order val="2"/>
          <c:tx>
            <c:v>Unconnected with Large D/S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'Impervious Effects'!$G$10:$G$20</c:f>
              <c:numCache/>
            </c:numRef>
          </c:xVal>
          <c:yVal>
            <c:numRef>
              <c:f>'Impervious Effects'!$H$10:$H$20</c:f>
              <c:numCache/>
            </c:numRef>
          </c:yVal>
          <c:smooth val="1"/>
        </c:ser>
        <c:axId val="4315097"/>
        <c:axId val="38835874"/>
      </c:scatterChart>
      <c:valAx>
        <c:axId val="431509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Maximum Allowable Impervious Cover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5874"/>
        <c:crosses val="autoZero"/>
        <c:crossBetween val="midCat"/>
        <c:dispUnits/>
        <c:majorUnit val="10"/>
        <c:minorUnit val="10"/>
      </c:valAx>
      <c:valAx>
        <c:axId val="388358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Maximum Available Points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509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452"/>
          <c:w val="0.272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Effects of Site Disturbance</a:t>
            </a:r>
          </a:p>
        </c:rich>
      </c:tx>
      <c:layout>
        <c:manualLayout>
          <c:xMode val="factor"/>
          <c:yMode val="factor"/>
          <c:x val="-0.003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825"/>
          <c:w val="0.92775"/>
          <c:h val="0.71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'Disturbance Effects'!$A$9:$A$19</c:f>
              <c:numCache/>
            </c:numRef>
          </c:xVal>
          <c:yVal>
            <c:numRef>
              <c:f>'Disturbance Effects'!$C$9:$C$19</c:f>
              <c:numCache/>
            </c:numRef>
          </c:yVal>
          <c:smooth val="0"/>
        </c:ser>
        <c:axId val="13978547"/>
        <c:axId val="58698060"/>
      </c:scatterChart>
      <c:valAx>
        <c:axId val="1397854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Allowable Site Disturbance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8060"/>
        <c:crosses val="autoZero"/>
        <c:crossBetween val="midCat"/>
        <c:dispUnits/>
        <c:minorUnit val="10"/>
      </c:valAx>
      <c:valAx>
        <c:axId val="586980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Maximum Points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7854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</cdr:x>
      <cdr:y>0.86125</cdr:y>
    </cdr:from>
    <cdr:to>
      <cdr:x>0.186</cdr:x>
      <cdr:y>0.90775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62050" y="4181475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-0.00025</cdr:x>
      <cdr:y>-0.00025</cdr:y>
    </cdr:from>
    <cdr:to>
      <cdr:x>0.081</cdr:x>
      <cdr:y>0.09875</cdr:y>
    </cdr:to>
    <cdr:sp fLocksText="0">
      <cdr:nvSpPr>
        <cdr:cNvPr id="2" name="Text Box 3"/>
        <cdr:cNvSpPr txBox="1">
          <a:spLocks noChangeArrowheads="1"/>
        </cdr:cNvSpPr>
      </cdr:nvSpPr>
      <cdr:spPr>
        <a:xfrm>
          <a:off x="0" y="0"/>
          <a:ext cx="5905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0.28875</cdr:x>
      <cdr:y>0.86125</cdr:y>
    </cdr:from>
    <cdr:to>
      <cdr:x>0.314</cdr:x>
      <cdr:y>0.90775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0" y="4181475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0.4175</cdr:x>
      <cdr:y>0.86125</cdr:y>
    </cdr:from>
    <cdr:to>
      <cdr:x>0.4425</cdr:x>
      <cdr:y>0.90775</cdr:y>
    </cdr:to>
    <cdr:sp>
      <cdr:nvSpPr>
        <cdr:cNvPr id="4" name="Text Box 5"/>
        <cdr:cNvSpPr txBox="1">
          <a:spLocks noChangeArrowheads="1"/>
        </cdr:cNvSpPr>
      </cdr:nvSpPr>
      <cdr:spPr>
        <a:xfrm>
          <a:off x="3028950" y="4181475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0.546</cdr:x>
      <cdr:y>0.86125</cdr:y>
    </cdr:from>
    <cdr:to>
      <cdr:x>0.57125</cdr:x>
      <cdr:y>0.90775</cdr:y>
    </cdr:to>
    <cdr:sp>
      <cdr:nvSpPr>
        <cdr:cNvPr id="5" name="Text Box 6"/>
        <cdr:cNvSpPr txBox="1">
          <a:spLocks noChangeArrowheads="1"/>
        </cdr:cNvSpPr>
      </cdr:nvSpPr>
      <cdr:spPr>
        <a:xfrm>
          <a:off x="3962400" y="4181475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0.79575</cdr:x>
      <cdr:y>0.86125</cdr:y>
    </cdr:from>
    <cdr:to>
      <cdr:x>0.82075</cdr:x>
      <cdr:y>0.90775</cdr:y>
    </cdr:to>
    <cdr:sp>
      <cdr:nvSpPr>
        <cdr:cNvPr id="6" name="Text Box 7"/>
        <cdr:cNvSpPr txBox="1">
          <a:spLocks noChangeArrowheads="1"/>
        </cdr:cNvSpPr>
      </cdr:nvSpPr>
      <cdr:spPr>
        <a:xfrm>
          <a:off x="5781675" y="4181475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0.6655</cdr:x>
      <cdr:y>0.86125</cdr:y>
    </cdr:from>
    <cdr:to>
      <cdr:x>0.696</cdr:x>
      <cdr:y>0.90775</cdr:y>
    </cdr:to>
    <cdr:sp>
      <cdr:nvSpPr>
        <cdr:cNvPr id="7" name="Text Box 8"/>
        <cdr:cNvSpPr txBox="1">
          <a:spLocks noChangeArrowheads="1"/>
        </cdr:cNvSpPr>
      </cdr:nvSpPr>
      <cdr:spPr>
        <a:xfrm>
          <a:off x="4829175" y="4181475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9525</xdr:rowOff>
    </xdr:from>
    <xdr:to>
      <xdr:col>11</xdr:col>
      <xdr:colOff>9525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85750" y="2219325"/>
        <a:ext cx="72675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0</xdr:rowOff>
    </xdr:from>
    <xdr:to>
      <xdr:col>10</xdr:col>
      <xdr:colOff>9525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352425" y="4305300"/>
        <a:ext cx="68008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152400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381000" y="3914775"/>
        <a:ext cx="6400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1"/>
  <sheetViews>
    <sheetView tabSelected="1" zoomScale="75" zoomScaleNormal="75" zoomScalePageLayoutView="0" workbookViewId="0" topLeftCell="A1">
      <selection activeCell="D86" sqref="D86"/>
    </sheetView>
  </sheetViews>
  <sheetFormatPr defaultColWidth="9.140625" defaultRowHeight="12.75"/>
  <cols>
    <col min="1" max="1" width="10.7109375" style="0" customWidth="1"/>
    <col min="2" max="2" width="45.7109375" style="0" customWidth="1"/>
    <col min="3" max="10" width="12.7109375" style="0" customWidth="1"/>
    <col min="14" max="14" width="20.7109375" style="0" customWidth="1"/>
  </cols>
  <sheetData>
    <row r="1" ht="15">
      <c r="A1" s="36" t="s">
        <v>144</v>
      </c>
    </row>
    <row r="2" ht="15">
      <c r="A2" s="37"/>
    </row>
    <row r="3" spans="1:2" ht="15">
      <c r="A3" s="75" t="s">
        <v>120</v>
      </c>
      <c r="B3" s="76">
        <v>38748</v>
      </c>
    </row>
    <row r="4" ht="15">
      <c r="A4" s="38"/>
    </row>
    <row r="5" ht="15">
      <c r="A5" s="36" t="s">
        <v>126</v>
      </c>
    </row>
    <row r="6" ht="15">
      <c r="A6" s="37"/>
    </row>
    <row r="7" ht="12.75">
      <c r="A7" s="10"/>
    </row>
    <row r="8" spans="1:5" ht="12.75">
      <c r="A8" s="1" t="s">
        <v>45</v>
      </c>
      <c r="B8" s="114"/>
      <c r="C8" s="120"/>
      <c r="D8" s="120"/>
      <c r="E8" s="121"/>
    </row>
    <row r="9" spans="1:5" ht="12.75">
      <c r="A9" s="10"/>
      <c r="B9" s="49"/>
      <c r="C9" s="49"/>
      <c r="D9" s="49"/>
      <c r="E9" s="49"/>
    </row>
    <row r="10" spans="1:5" ht="12.75">
      <c r="A10" s="1" t="s">
        <v>46</v>
      </c>
      <c r="B10" s="107"/>
      <c r="C10" s="49"/>
      <c r="D10" s="49"/>
      <c r="E10" s="49"/>
    </row>
    <row r="11" spans="1:5" ht="12.75">
      <c r="A11" s="10"/>
      <c r="B11" s="49"/>
      <c r="C11" s="49"/>
      <c r="D11" s="49"/>
      <c r="E11" s="49"/>
    </row>
    <row r="12" spans="1:6" ht="12.75">
      <c r="A12" s="1" t="s">
        <v>155</v>
      </c>
      <c r="B12" s="108"/>
      <c r="C12" s="49"/>
      <c r="D12" s="49"/>
      <c r="E12" s="49"/>
      <c r="F12" t="s">
        <v>48</v>
      </c>
    </row>
    <row r="13" spans="1:5" ht="12.75">
      <c r="A13" s="1"/>
      <c r="B13" s="49"/>
      <c r="C13" s="49"/>
      <c r="D13" s="49"/>
      <c r="E13" s="49"/>
    </row>
    <row r="14" spans="1:5" ht="12.75">
      <c r="A14" s="1" t="s">
        <v>47</v>
      </c>
      <c r="B14" s="114"/>
      <c r="C14" s="115"/>
      <c r="D14" s="115"/>
      <c r="E14" s="116"/>
    </row>
    <row r="15" spans="1:5" ht="12.75">
      <c r="A15" s="1"/>
      <c r="B15" s="106"/>
      <c r="C15" s="109"/>
      <c r="D15" s="109"/>
      <c r="E15" s="110"/>
    </row>
    <row r="16" spans="1:5" ht="12.75">
      <c r="A16" s="1"/>
      <c r="B16" s="114"/>
      <c r="C16" s="115"/>
      <c r="D16" s="115"/>
      <c r="E16" s="116"/>
    </row>
    <row r="17" spans="1:5" ht="12.75">
      <c r="A17" s="1"/>
      <c r="B17" s="114"/>
      <c r="C17" s="115"/>
      <c r="D17" s="115"/>
      <c r="E17" s="116"/>
    </row>
    <row r="18" spans="2:5" ht="12.75">
      <c r="B18" s="114"/>
      <c r="C18" s="120"/>
      <c r="D18" s="120"/>
      <c r="E18" s="121"/>
    </row>
    <row r="21" ht="15">
      <c r="A21" s="38" t="s">
        <v>90</v>
      </c>
    </row>
    <row r="22" ht="12.75">
      <c r="A22" s="5"/>
    </row>
    <row r="24" spans="1:6" ht="12.75">
      <c r="A24" s="1" t="s">
        <v>170</v>
      </c>
      <c r="E24" s="100">
        <v>9.1</v>
      </c>
      <c r="F24" s="19" t="s">
        <v>96</v>
      </c>
    </row>
    <row r="26" spans="1:5" ht="12.75">
      <c r="A26" s="1" t="s">
        <v>133</v>
      </c>
      <c r="C26" s="12"/>
      <c r="D26" s="14"/>
      <c r="E26" s="13"/>
    </row>
    <row r="27" spans="3:5" ht="12.75">
      <c r="C27" s="12"/>
      <c r="D27" s="14"/>
      <c r="E27" s="13"/>
    </row>
    <row r="28" spans="2:9" ht="16.5">
      <c r="B28" s="9" t="s">
        <v>32</v>
      </c>
      <c r="C28" s="15" t="s">
        <v>33</v>
      </c>
      <c r="D28" s="16" t="s">
        <v>34</v>
      </c>
      <c r="E28" s="15" t="s">
        <v>35</v>
      </c>
      <c r="F28" s="17" t="s">
        <v>36</v>
      </c>
      <c r="G28" s="17" t="s">
        <v>37</v>
      </c>
      <c r="H28" s="17" t="s">
        <v>38</v>
      </c>
      <c r="I28" s="15" t="s">
        <v>53</v>
      </c>
    </row>
    <row r="29" spans="2:9" ht="16.5">
      <c r="B29" s="9"/>
      <c r="C29" s="15"/>
      <c r="D29" s="16"/>
      <c r="E29" s="15"/>
      <c r="F29" s="17"/>
      <c r="G29" s="17"/>
      <c r="H29" s="17"/>
      <c r="I29" s="23"/>
    </row>
    <row r="30" spans="2:10" ht="12.75">
      <c r="B30" s="9" t="s">
        <v>49</v>
      </c>
      <c r="C30" s="101"/>
      <c r="D30" s="101"/>
      <c r="E30" s="101"/>
      <c r="F30" s="101"/>
      <c r="G30" s="101"/>
      <c r="H30" s="101"/>
      <c r="I30" s="72">
        <f>IF(E24="","",IF(E24=0,"",SUM(C30:H30)))</f>
        <v>0</v>
      </c>
      <c r="J30" s="4"/>
    </row>
    <row r="31" spans="3:5" ht="12.75">
      <c r="C31" s="12"/>
      <c r="D31" s="24" t="str">
        <f>IF(I30="","",IF(I30=1,"","PLEASE COMPLETE OR CORRECT PLANNING AREA INPUT SO TOTAL = 100%"))</f>
        <v>PLEASE COMPLETE OR CORRECT PLANNING AREA INPUT SO TOTAL = 100%</v>
      </c>
      <c r="E31" s="13"/>
    </row>
    <row r="32" spans="2:10" ht="12.75">
      <c r="B32" s="67" t="s">
        <v>169</v>
      </c>
      <c r="H32" s="25"/>
      <c r="J32" s="19"/>
    </row>
    <row r="33" spans="8:10" ht="12.75">
      <c r="H33" s="25"/>
      <c r="J33" s="19"/>
    </row>
    <row r="36" ht="15">
      <c r="A36" s="38" t="s">
        <v>29</v>
      </c>
    </row>
    <row r="37" ht="12.75">
      <c r="A37" s="5"/>
    </row>
    <row r="39" ht="12.75">
      <c r="A39" s="1" t="s">
        <v>134</v>
      </c>
    </row>
    <row r="41" ht="12.75">
      <c r="C41" s="19" t="s">
        <v>43</v>
      </c>
    </row>
    <row r="42" spans="1:9" ht="33">
      <c r="A42" s="2" t="s">
        <v>13</v>
      </c>
      <c r="B42" s="2" t="s">
        <v>15</v>
      </c>
      <c r="C42" s="3" t="s">
        <v>1</v>
      </c>
      <c r="D42" s="3" t="s">
        <v>2</v>
      </c>
      <c r="E42" s="3" t="s">
        <v>3</v>
      </c>
      <c r="F42" s="3" t="s">
        <v>4</v>
      </c>
      <c r="G42" s="63" t="s">
        <v>16</v>
      </c>
      <c r="I42" s="3" t="s">
        <v>0</v>
      </c>
    </row>
    <row r="43" spans="1:2" ht="16.5">
      <c r="A43" s="2"/>
      <c r="B43" s="2"/>
    </row>
    <row r="44" spans="1:32" ht="12.75">
      <c r="A44" s="4">
        <v>1</v>
      </c>
      <c r="B44" s="4" t="s">
        <v>132</v>
      </c>
      <c r="C44" s="100"/>
      <c r="D44" s="100"/>
      <c r="E44" s="100"/>
      <c r="F44" s="100"/>
      <c r="G44" s="78">
        <f aca="true" t="shared" si="0" ref="G44:G58">C44+D44+E44+F44</f>
        <v>0</v>
      </c>
      <c r="H44" s="28"/>
      <c r="I44" s="20">
        <f>IF($E$24=0,0,C44/$E$24*INDEX('Data and Formulas'!$B$24:$I$38,1,5)+D44/$E$24*INDEX('Data and Formulas'!$B$24:$I$38,1,6)+E44/$E$24*INDEX('Data and Formulas'!$B$24:$I$38,1,7)+F44/$E$24*INDEX('Data and Formulas'!$B$24:$I$38,1,8))</f>
        <v>0</v>
      </c>
      <c r="J44" s="8"/>
      <c r="AA44" s="28"/>
      <c r="AB44" s="28"/>
      <c r="AC44" s="28"/>
      <c r="AD44" s="28"/>
      <c r="AE44" s="29"/>
      <c r="AF44" s="29"/>
    </row>
    <row r="45" spans="1:32" ht="12.75">
      <c r="A45" s="4">
        <v>2</v>
      </c>
      <c r="B45" s="4" t="s">
        <v>6</v>
      </c>
      <c r="C45" s="100"/>
      <c r="D45" s="100"/>
      <c r="E45" s="100"/>
      <c r="F45" s="100"/>
      <c r="G45" s="78">
        <f t="shared" si="0"/>
        <v>0</v>
      </c>
      <c r="H45" s="28"/>
      <c r="I45" s="20">
        <f>IF($E$24=0,0,C45/$E$24*INDEX('Data and Formulas'!$B$24:$I$38,2,5)+D45/$E$24*INDEX('Data and Formulas'!$B$24:$I$38,2,6)+E45/$E$24*INDEX('Data and Formulas'!$B$24:$I$38,2,7)+F45/$E$24*INDEX('Data and Formulas'!$B$24:$I$38,2,8))</f>
        <v>0</v>
      </c>
      <c r="J45" s="8"/>
      <c r="AA45" s="28"/>
      <c r="AB45" s="28"/>
      <c r="AC45" s="28"/>
      <c r="AD45" s="28"/>
      <c r="AE45" s="29"/>
      <c r="AF45" s="29"/>
    </row>
    <row r="46" spans="1:32" ht="12.75">
      <c r="A46" s="4">
        <v>3</v>
      </c>
      <c r="B46" s="4" t="s">
        <v>9</v>
      </c>
      <c r="C46" s="100"/>
      <c r="D46" s="100"/>
      <c r="E46" s="100"/>
      <c r="F46" s="100"/>
      <c r="G46" s="78">
        <f t="shared" si="0"/>
        <v>0</v>
      </c>
      <c r="H46" s="28"/>
      <c r="I46" s="20">
        <f>IF($E$24=0,0,C46/$E$24*INDEX('Data and Formulas'!$B$24:$I$38,3,5)+D46/$E$24*INDEX('Data and Formulas'!$B$24:$I$38,3,6)+E46/$E$24*INDEX('Data and Formulas'!$B$24:$I$38,3,7)+F46/$E$24*INDEX('Data and Formulas'!$B$24:$I$38,3,8))</f>
        <v>0</v>
      </c>
      <c r="J46" s="8"/>
      <c r="AA46" s="28"/>
      <c r="AB46" s="28"/>
      <c r="AC46" s="28"/>
      <c r="AD46" s="28"/>
      <c r="AE46" s="29"/>
      <c r="AF46" s="29"/>
    </row>
    <row r="47" spans="1:32" ht="12.75">
      <c r="A47" s="4">
        <v>4</v>
      </c>
      <c r="B47" s="4" t="s">
        <v>8</v>
      </c>
      <c r="C47" s="100"/>
      <c r="D47" s="100"/>
      <c r="E47" s="100"/>
      <c r="F47" s="100"/>
      <c r="G47" s="78">
        <f t="shared" si="0"/>
        <v>0</v>
      </c>
      <c r="H47" s="28"/>
      <c r="I47" s="20">
        <f>IF($E$24=0,0,C47/$E$24*INDEX('Data and Formulas'!$B$24:$I$38,4,5)+D47/$E$24*INDEX('Data and Formulas'!$B$24:$I$38,4,6)+E47/$E$24*INDEX('Data and Formulas'!$B$24:$I$38,4,7)+F47/$E$24*INDEX('Data and Formulas'!$B$24:$I$38,4,8))</f>
        <v>0</v>
      </c>
      <c r="J47" s="8"/>
      <c r="AA47" s="28"/>
      <c r="AB47" s="28"/>
      <c r="AC47" s="28"/>
      <c r="AD47" s="28"/>
      <c r="AE47" s="29"/>
      <c r="AF47" s="29"/>
    </row>
    <row r="48" spans="1:32" ht="12.75">
      <c r="A48" s="4">
        <v>5</v>
      </c>
      <c r="B48" s="4" t="s">
        <v>10</v>
      </c>
      <c r="C48" s="100"/>
      <c r="D48" s="100"/>
      <c r="E48" s="100"/>
      <c r="F48" s="100"/>
      <c r="G48" s="78">
        <f t="shared" si="0"/>
        <v>0</v>
      </c>
      <c r="H48" s="28"/>
      <c r="I48" s="20">
        <f>IF($E$24=0,0,C48/$E$24*INDEX('Data and Formulas'!$B$24:$I$38,5,5)+D48/$E$24*INDEX('Data and Formulas'!$B$24:$I$38,5,6)+E48/$E$24*INDEX('Data and Formulas'!$B$24:$I$38,5,7)+F48/$E$24*INDEX('Data and Formulas'!$B$24:$I$38,5,8))</f>
        <v>0</v>
      </c>
      <c r="J48" s="8"/>
      <c r="AA48" s="28"/>
      <c r="AB48" s="28"/>
      <c r="AC48" s="28"/>
      <c r="AD48" s="28"/>
      <c r="AE48" s="29"/>
      <c r="AF48" s="29"/>
    </row>
    <row r="49" spans="1:32" ht="12.75">
      <c r="A49" s="4">
        <v>6</v>
      </c>
      <c r="B49" s="4" t="s">
        <v>11</v>
      </c>
      <c r="C49" s="100"/>
      <c r="D49" s="100"/>
      <c r="E49" s="100"/>
      <c r="F49" s="100"/>
      <c r="G49" s="78">
        <f t="shared" si="0"/>
        <v>0</v>
      </c>
      <c r="H49" s="28"/>
      <c r="I49" s="20">
        <f>IF($E$24=0,0,C49/$E$24*INDEX('Data and Formulas'!$B$24:$I$38,6,5)+D49/$E$24*INDEX('Data and Formulas'!$B$24:$I$38,6,6)+E49/$E$24*INDEX('Data and Formulas'!$B$24:$I$38,6,7)+F49/$E$24*INDEX('Data and Formulas'!$B$24:$I$38,6,8))</f>
        <v>0</v>
      </c>
      <c r="J49" s="8"/>
      <c r="AA49" s="28"/>
      <c r="AB49" s="28"/>
      <c r="AC49" s="28"/>
      <c r="AD49" s="28"/>
      <c r="AE49" s="29"/>
      <c r="AF49" s="29"/>
    </row>
    <row r="50" spans="1:32" ht="12.75">
      <c r="A50" s="4">
        <v>7</v>
      </c>
      <c r="B50" s="4" t="s">
        <v>27</v>
      </c>
      <c r="C50" s="100"/>
      <c r="D50" s="100"/>
      <c r="E50" s="100"/>
      <c r="F50" s="100"/>
      <c r="G50" s="78">
        <f t="shared" si="0"/>
        <v>0</v>
      </c>
      <c r="H50" s="28"/>
      <c r="I50" s="20">
        <f>IF($E$24=0,0,C50/$E$24*INDEX('Data and Formulas'!$B$24:$I$38,7,5)+D50/$E$24*INDEX('Data and Formulas'!$B$24:$I$38,7,6)+E50/$E$24*INDEX('Data and Formulas'!$B$24:$I$38,7,7)+F50/$E$24*INDEX('Data and Formulas'!$B$24:$I$38,7,8))</f>
        <v>0</v>
      </c>
      <c r="J50" s="8"/>
      <c r="AA50" s="28"/>
      <c r="AB50" s="28"/>
      <c r="AC50" s="28"/>
      <c r="AD50" s="28"/>
      <c r="AE50" s="29"/>
      <c r="AF50" s="29"/>
    </row>
    <row r="51" spans="1:32" ht="12.75">
      <c r="A51" s="4">
        <v>8</v>
      </c>
      <c r="B51" s="4" t="s">
        <v>28</v>
      </c>
      <c r="C51" s="100"/>
      <c r="D51" s="100"/>
      <c r="E51" s="100"/>
      <c r="F51" s="100"/>
      <c r="G51" s="78">
        <f t="shared" si="0"/>
        <v>0</v>
      </c>
      <c r="H51" s="28"/>
      <c r="I51" s="20">
        <f>IF($E$24=0,0,C51/$E$24*INDEX('Data and Formulas'!$B$24:$I$38,8,5)+D51/$E$24*INDEX('Data and Formulas'!$B$24:$I$38,8,6)+E51/$E$24*INDEX('Data and Formulas'!$B$24:$I$38,8,7)+F51/$E$24*INDEX('Data and Formulas'!$B$24:$I$38,8,8))</f>
        <v>0</v>
      </c>
      <c r="J51" s="8"/>
      <c r="AA51" s="28"/>
      <c r="AB51" s="28"/>
      <c r="AC51" s="28"/>
      <c r="AD51" s="28"/>
      <c r="AE51" s="29"/>
      <c r="AF51" s="29"/>
    </row>
    <row r="52" spans="1:32" ht="12.75">
      <c r="A52" s="4">
        <v>9</v>
      </c>
      <c r="B52" s="4" t="s">
        <v>25</v>
      </c>
      <c r="C52" s="100"/>
      <c r="D52" s="100"/>
      <c r="E52" s="100"/>
      <c r="F52" s="100"/>
      <c r="G52" s="78">
        <f t="shared" si="0"/>
        <v>0</v>
      </c>
      <c r="H52" s="28"/>
      <c r="I52" s="20">
        <f>IF($E$24=0,0,C52/$E$24*INDEX('Data and Formulas'!$B$24:$I$38,9,5)+D52/$E$24*INDEX('Data and Formulas'!$B$24:$I$38,9,6)+E52/$E$24*INDEX('Data and Formulas'!$B$24:$I$38,9,7)+F52/$E$24*INDEX('Data and Formulas'!$B$24:$I$38,9,8))</f>
        <v>0</v>
      </c>
      <c r="J52" s="8"/>
      <c r="AA52" s="28"/>
      <c r="AB52" s="28"/>
      <c r="AC52" s="28"/>
      <c r="AD52" s="28"/>
      <c r="AE52" s="29"/>
      <c r="AF52" s="29"/>
    </row>
    <row r="53" spans="1:32" ht="12.75">
      <c r="A53" s="4">
        <v>10</v>
      </c>
      <c r="B53" s="4" t="s">
        <v>67</v>
      </c>
      <c r="C53" s="100"/>
      <c r="D53" s="100"/>
      <c r="E53" s="100"/>
      <c r="F53" s="100"/>
      <c r="G53" s="78">
        <f t="shared" si="0"/>
        <v>0</v>
      </c>
      <c r="H53" s="28"/>
      <c r="I53" s="20">
        <f>IF($E$24=0,0,C53/$E$24*INDEX('Data and Formulas'!$B$24:$I$38,10,5)+D53/$E$24*INDEX('Data and Formulas'!$B$24:$I$38,10,6)+E53/$E$24*INDEX('Data and Formulas'!$B$24:$I$38,10,7)+F53/$E$24*INDEX('Data and Formulas'!$B$24:$I$38,10,8))</f>
        <v>0</v>
      </c>
      <c r="J53" s="8"/>
      <c r="AA53" s="28"/>
      <c r="AB53" s="28"/>
      <c r="AC53" s="28"/>
      <c r="AD53" s="28"/>
      <c r="AE53" s="29"/>
      <c r="AF53" s="29"/>
    </row>
    <row r="54" spans="1:32" ht="12.75">
      <c r="A54" s="4">
        <v>11</v>
      </c>
      <c r="B54" s="4" t="s">
        <v>7</v>
      </c>
      <c r="C54" s="100"/>
      <c r="D54" s="100"/>
      <c r="E54" s="100"/>
      <c r="F54" s="100"/>
      <c r="G54" s="78">
        <f t="shared" si="0"/>
        <v>0</v>
      </c>
      <c r="H54" s="28"/>
      <c r="I54" s="20">
        <f>IF($E$24=0,0,C54/$E$24*INDEX('Data and Formulas'!$B$24:$I$38,11,5)+D54/$E$24*INDEX('Data and Formulas'!$B$24:$I$38,11,6)+E54/$E$24*INDEX('Data and Formulas'!$B$24:$I$38,11,7)+F54/$E$24*INDEX('Data and Formulas'!$B$24:$I$38,11,8))</f>
        <v>0</v>
      </c>
      <c r="J54" s="8"/>
      <c r="AA54" s="28"/>
      <c r="AB54" s="28"/>
      <c r="AC54" s="28"/>
      <c r="AD54" s="28"/>
      <c r="AE54" s="29"/>
      <c r="AF54" s="29"/>
    </row>
    <row r="55" spans="1:32" ht="12.75">
      <c r="A55" s="4">
        <v>12</v>
      </c>
      <c r="B55" s="4" t="s">
        <v>12</v>
      </c>
      <c r="C55" s="100"/>
      <c r="D55" s="100"/>
      <c r="E55" s="100"/>
      <c r="F55" s="100"/>
      <c r="G55" s="78">
        <f t="shared" si="0"/>
        <v>0</v>
      </c>
      <c r="H55" s="28"/>
      <c r="I55" s="20">
        <f>IF($E$24=0,0,C55/$E$24*INDEX('Data and Formulas'!$B$24:$I$38,12,5)+D55/$E$24*INDEX('Data and Formulas'!$B$24:$I$38,12,6)+E55/$E$24*INDEX('Data and Formulas'!$B$24:$I$38,12,7)+F55/$E$24*INDEX('Data and Formulas'!$B$24:$I$38,12,8))</f>
        <v>0</v>
      </c>
      <c r="J55" s="8"/>
      <c r="AA55" s="28"/>
      <c r="AB55" s="28"/>
      <c r="AC55" s="28"/>
      <c r="AD55" s="28"/>
      <c r="AE55" s="29"/>
      <c r="AF55" s="29"/>
    </row>
    <row r="56" spans="1:32" ht="12.75">
      <c r="A56" s="4">
        <v>13</v>
      </c>
      <c r="B56" s="4" t="s">
        <v>5</v>
      </c>
      <c r="C56" s="100"/>
      <c r="D56" s="100"/>
      <c r="E56" s="100"/>
      <c r="F56" s="100"/>
      <c r="G56" s="78">
        <f t="shared" si="0"/>
        <v>0</v>
      </c>
      <c r="H56" s="28"/>
      <c r="I56" s="20">
        <f>IF($E$24=0,0,C56/$E$24*INDEX('Data and Formulas'!$B$24:$I$38,13,5)+D56/$E$24*INDEX('Data and Formulas'!$B$24:$I$38,13,6)+E56/$E$24*INDEX('Data and Formulas'!$B$24:$I$38,13,7)+F56/$E$24*INDEX('Data and Formulas'!$B$24:$I$38,13,8))</f>
        <v>0</v>
      </c>
      <c r="J56" s="8"/>
      <c r="AA56" s="28"/>
      <c r="AB56" s="28"/>
      <c r="AC56" s="28"/>
      <c r="AD56" s="28"/>
      <c r="AE56" s="29"/>
      <c r="AF56" s="29"/>
    </row>
    <row r="57" spans="1:32" ht="12.75">
      <c r="A57" s="4">
        <v>14</v>
      </c>
      <c r="B57" s="4" t="s">
        <v>51</v>
      </c>
      <c r="C57" s="100"/>
      <c r="D57" s="100"/>
      <c r="E57" s="100"/>
      <c r="F57" s="100"/>
      <c r="G57" s="78">
        <f t="shared" si="0"/>
        <v>0</v>
      </c>
      <c r="H57" s="28"/>
      <c r="I57" s="20">
        <f>IF($E$24=0,0,C57/$E$24*INDEX('Data and Formulas'!$B$24:$I$38,14,5)+D57/$E$24*INDEX('Data and Formulas'!$B$24:$I$38,14,6)+E57/$E$24*INDEX('Data and Formulas'!$B$24:$I$38,14,7)+F57/$E$24*INDEX('Data and Formulas'!$B$24:$I$38,14,8))</f>
        <v>0</v>
      </c>
      <c r="J57" s="8"/>
      <c r="AA57" s="28"/>
      <c r="AB57" s="28"/>
      <c r="AC57" s="28"/>
      <c r="AD57" s="28"/>
      <c r="AE57" s="29"/>
      <c r="AF57" s="29"/>
    </row>
    <row r="58" spans="1:32" ht="12.75">
      <c r="A58" s="4">
        <v>15</v>
      </c>
      <c r="B58" s="4" t="s">
        <v>50</v>
      </c>
      <c r="C58" s="100"/>
      <c r="D58" s="100"/>
      <c r="E58" s="100"/>
      <c r="F58" s="100"/>
      <c r="G58" s="78">
        <f t="shared" si="0"/>
        <v>0</v>
      </c>
      <c r="H58" s="28"/>
      <c r="I58" s="20">
        <f>IF($E$24=0,0,C58/$E$24*INDEX('Data and Formulas'!$B$24:$I$38,15,5)+D58/$E$24*INDEX('Data and Formulas'!$B$24:$I$38,15,6)+E58/$E$24*INDEX('Data and Formulas'!$B$24:$I$38,15,7)+F58/$E$24*INDEX('Data and Formulas'!$B$24:$I$38,15,8))</f>
        <v>0</v>
      </c>
      <c r="J58" s="8"/>
      <c r="AA58" s="28"/>
      <c r="AB58" s="28"/>
      <c r="AC58" s="28"/>
      <c r="AD58" s="28"/>
      <c r="AE58" s="29"/>
      <c r="AF58" s="29"/>
    </row>
    <row r="59" spans="10:32" ht="12.75">
      <c r="J59" s="8"/>
      <c r="X59" s="4"/>
      <c r="Y59" s="11"/>
      <c r="Z59" s="11"/>
      <c r="AA59" s="11"/>
      <c r="AC59" s="29"/>
      <c r="AD59" s="29"/>
      <c r="AE59" s="29"/>
      <c r="AF59" s="29"/>
    </row>
    <row r="60" spans="2:24" ht="12.75">
      <c r="B60" s="6" t="s">
        <v>146</v>
      </c>
      <c r="C60" s="78">
        <f>SUM(C44:C58)</f>
        <v>0</v>
      </c>
      <c r="D60" s="78">
        <f>SUM(D44:D58)</f>
        <v>0</v>
      </c>
      <c r="E60" s="78">
        <f>SUM(E44:E58)</f>
        <v>0</v>
      </c>
      <c r="F60" s="78">
        <f>SUM(F44:F58)</f>
        <v>0</v>
      </c>
      <c r="G60" s="32"/>
      <c r="H60" s="6" t="s">
        <v>148</v>
      </c>
      <c r="I60" s="78">
        <f>SUM(G44:G58)</f>
        <v>0</v>
      </c>
      <c r="X60" s="7"/>
    </row>
    <row r="61" spans="2:24" ht="12.75">
      <c r="B61" s="6" t="s">
        <v>147</v>
      </c>
      <c r="C61" s="97">
        <f>IF($E$24=0,0,C60/$E$24)</f>
        <v>0</v>
      </c>
      <c r="D61" s="97">
        <f>IF($E$24=0,0,D60/$E$24)</f>
        <v>0</v>
      </c>
      <c r="E61" s="97">
        <f>IF($E$24=0,0,E60/$E$24)</f>
        <v>0</v>
      </c>
      <c r="F61" s="97">
        <f>IF($E$24=0,0,F60/$E$24)</f>
        <v>0</v>
      </c>
      <c r="G61" s="27"/>
      <c r="H61" s="64" t="s">
        <v>149</v>
      </c>
      <c r="I61" s="97">
        <f>SUM(C61:F61)</f>
        <v>0</v>
      </c>
      <c r="X61" s="7"/>
    </row>
    <row r="62" spans="3:24" ht="12.75">
      <c r="C62" s="26">
        <f>IF(I61=0,"",IF(I61=1,"","PLEASE COMPLETE OR CORRECT LULC INPUT SO THAT TOTAL % AREA = 100%"))</f>
      </c>
      <c r="X62" s="7"/>
    </row>
    <row r="63" spans="9:24" ht="12.75">
      <c r="I63" s="21"/>
      <c r="X63" s="7"/>
    </row>
    <row r="64" spans="8:24" ht="12.75">
      <c r="H64" s="6" t="s">
        <v>150</v>
      </c>
      <c r="I64" s="41">
        <f>IF(I61=1,SUM(I44:I58),0)</f>
        <v>0</v>
      </c>
      <c r="X64" s="7"/>
    </row>
    <row r="65" spans="4:24" ht="12.75">
      <c r="D65" s="26"/>
      <c r="X65" s="7"/>
    </row>
    <row r="66" ht="12.75">
      <c r="X66" s="7"/>
    </row>
    <row r="67" spans="8:9" ht="15">
      <c r="H67" s="35" t="s">
        <v>151</v>
      </c>
      <c r="I67" s="39">
        <f>I64</f>
        <v>0</v>
      </c>
    </row>
    <row r="71" ht="15">
      <c r="A71" s="38" t="s">
        <v>30</v>
      </c>
    </row>
    <row r="72" ht="12.75">
      <c r="A72" s="5"/>
    </row>
    <row r="74" spans="1:14" ht="12.75">
      <c r="A74" s="1" t="s">
        <v>135</v>
      </c>
      <c r="N74" s="1"/>
    </row>
    <row r="76" spans="3:21" ht="12.75">
      <c r="C76" s="19" t="s">
        <v>43</v>
      </c>
      <c r="R76" s="1"/>
      <c r="S76" s="1"/>
      <c r="T76" s="1"/>
      <c r="U76" s="1"/>
    </row>
    <row r="77" spans="1:21" ht="33">
      <c r="A77" s="2" t="s">
        <v>13</v>
      </c>
      <c r="B77" s="2" t="s">
        <v>15</v>
      </c>
      <c r="C77" s="3" t="s">
        <v>1</v>
      </c>
      <c r="D77" s="3" t="s">
        <v>2</v>
      </c>
      <c r="E77" s="3" t="s">
        <v>3</v>
      </c>
      <c r="F77" s="3" t="s">
        <v>4</v>
      </c>
      <c r="G77" s="63" t="s">
        <v>16</v>
      </c>
      <c r="I77" s="3" t="s">
        <v>0</v>
      </c>
      <c r="N77" s="1"/>
      <c r="R77" s="9"/>
      <c r="S77" s="9"/>
      <c r="T77" s="9"/>
      <c r="U77" s="9"/>
    </row>
    <row r="78" spans="1:14" ht="16.5">
      <c r="A78" s="2"/>
      <c r="B78" s="2"/>
      <c r="N78" s="1"/>
    </row>
    <row r="79" spans="1:27" ht="12.75">
      <c r="A79" s="4">
        <v>1</v>
      </c>
      <c r="B79" s="4" t="s">
        <v>132</v>
      </c>
      <c r="C79" s="100"/>
      <c r="D79" s="100"/>
      <c r="E79" s="100"/>
      <c r="F79" s="100"/>
      <c r="G79" s="78">
        <f aca="true" t="shared" si="1" ref="G79:G93">C79+D79+E79+F79</f>
        <v>0</v>
      </c>
      <c r="H79" s="28"/>
      <c r="I79" s="20">
        <f>IF($E$24=0,0,C79/$E$24*INDEX('Data and Formulas'!$B$24:$I$38,1,5)+D79/$E$24*INDEX('Data and Formulas'!$B$24:$I$38,1,6)+E79/$E$24*INDEX('Data and Formulas'!$B$24:$I$38,1,7)+F79/$E$24*INDEX('Data and Formulas'!$B$24:$I$38,1,8))</f>
        <v>0</v>
      </c>
      <c r="M79" s="4"/>
      <c r="N79" s="7"/>
      <c r="R79" s="28"/>
      <c r="S79" s="28"/>
      <c r="T79" s="28"/>
      <c r="U79" s="28"/>
      <c r="X79" s="4"/>
      <c r="Y79" s="11"/>
      <c r="Z79" s="11"/>
      <c r="AA79" s="11"/>
    </row>
    <row r="80" spans="1:27" ht="12.75">
      <c r="A80" s="4">
        <v>2</v>
      </c>
      <c r="B80" s="4" t="s">
        <v>6</v>
      </c>
      <c r="C80" s="100"/>
      <c r="D80" s="100"/>
      <c r="E80" s="100"/>
      <c r="F80" s="100"/>
      <c r="G80" s="78">
        <f t="shared" si="1"/>
        <v>0</v>
      </c>
      <c r="H80" s="28"/>
      <c r="I80" s="20">
        <f>IF($E$24=0,0,C80/$E$24*INDEX('Data and Formulas'!$B$24:$I$38,2,5)+D80/$E$24*INDEX('Data and Formulas'!$B$24:$I$38,2,6)+E80/$E$24*INDEX('Data and Formulas'!$B$24:$I$38,2,7)+F80/$E$24*INDEX('Data and Formulas'!$B$24:$I$38,2,8))</f>
        <v>0</v>
      </c>
      <c r="M80" s="4"/>
      <c r="N80" s="7"/>
      <c r="R80" s="28"/>
      <c r="S80" s="28"/>
      <c r="T80" s="28"/>
      <c r="U80" s="28"/>
      <c r="X80" s="4"/>
      <c r="Y80" s="11"/>
      <c r="Z80" s="11"/>
      <c r="AA80" s="11"/>
    </row>
    <row r="81" spans="1:27" ht="12.75">
      <c r="A81" s="4">
        <v>3</v>
      </c>
      <c r="B81" s="4" t="s">
        <v>9</v>
      </c>
      <c r="C81" s="100"/>
      <c r="D81" s="100"/>
      <c r="E81" s="100"/>
      <c r="F81" s="100"/>
      <c r="G81" s="78">
        <f t="shared" si="1"/>
        <v>0</v>
      </c>
      <c r="H81" s="28"/>
      <c r="I81" s="20">
        <f>IF($E$24=0,0,C81/$E$24*INDEX('Data and Formulas'!$B$24:$I$38,3,5)+D81/$E$24*INDEX('Data and Formulas'!$B$24:$I$38,3,6)+E81/$E$24*INDEX('Data and Formulas'!$B$24:$I$38,3,7)+F81/$E$24*INDEX('Data and Formulas'!$B$24:$I$38,3,8))</f>
        <v>0</v>
      </c>
      <c r="M81" s="4"/>
      <c r="N81" s="7"/>
      <c r="R81" s="28"/>
      <c r="S81" s="28"/>
      <c r="T81" s="28"/>
      <c r="U81" s="28"/>
      <c r="X81" s="4"/>
      <c r="Y81" s="11"/>
      <c r="Z81" s="11"/>
      <c r="AA81" s="11"/>
    </row>
    <row r="82" spans="1:27" ht="12.75">
      <c r="A82" s="4">
        <v>4</v>
      </c>
      <c r="B82" s="4" t="s">
        <v>8</v>
      </c>
      <c r="C82" s="100"/>
      <c r="D82" s="100"/>
      <c r="E82" s="100"/>
      <c r="F82" s="100"/>
      <c r="G82" s="78">
        <f t="shared" si="1"/>
        <v>0</v>
      </c>
      <c r="H82" s="28"/>
      <c r="I82" s="20">
        <f>IF($E$24=0,0,C82/$E$24*INDEX('Data and Formulas'!$B$24:$I$38,4,5)+D82/$E$24*INDEX('Data and Formulas'!$B$24:$I$38,4,6)+E82/$E$24*INDEX('Data and Formulas'!$B$24:$I$38,4,7)+F82/$E$24*INDEX('Data and Formulas'!$B$24:$I$38,4,8))</f>
        <v>0</v>
      </c>
      <c r="M82" s="4"/>
      <c r="N82" s="7"/>
      <c r="R82" s="28"/>
      <c r="S82" s="28"/>
      <c r="T82" s="28"/>
      <c r="U82" s="28"/>
      <c r="X82" s="4"/>
      <c r="Y82" s="11"/>
      <c r="Z82" s="11"/>
      <c r="AA82" s="11"/>
    </row>
    <row r="83" spans="1:27" ht="12.75">
      <c r="A83" s="4">
        <v>5</v>
      </c>
      <c r="B83" s="4" t="s">
        <v>10</v>
      </c>
      <c r="C83" s="100"/>
      <c r="D83" s="100"/>
      <c r="E83" s="100"/>
      <c r="F83" s="100"/>
      <c r="G83" s="78">
        <f t="shared" si="1"/>
        <v>0</v>
      </c>
      <c r="H83" s="28"/>
      <c r="I83" s="20">
        <f>IF($E$24=0,0,C83/$E$24*INDEX('Data and Formulas'!$B$24:$I$38,5,5)+D83/$E$24*INDEX('Data and Formulas'!$B$24:$I$38,5,6)+E83/$E$24*INDEX('Data and Formulas'!$B$24:$I$38,5,7)+F83/$E$24*INDEX('Data and Formulas'!$B$24:$I$38,5,8))</f>
        <v>0</v>
      </c>
      <c r="M83" s="4"/>
      <c r="N83" s="7"/>
      <c r="R83" s="28"/>
      <c r="S83" s="28"/>
      <c r="T83" s="28"/>
      <c r="U83" s="28"/>
      <c r="X83" s="4"/>
      <c r="Y83" s="11"/>
      <c r="Z83" s="11"/>
      <c r="AA83" s="11"/>
    </row>
    <row r="84" spans="1:27" ht="12.75">
      <c r="A84" s="4">
        <v>6</v>
      </c>
      <c r="B84" s="4" t="s">
        <v>11</v>
      </c>
      <c r="C84" s="100"/>
      <c r="D84" s="100"/>
      <c r="E84" s="100"/>
      <c r="F84" s="100"/>
      <c r="G84" s="78">
        <f t="shared" si="1"/>
        <v>0</v>
      </c>
      <c r="H84" s="28"/>
      <c r="I84" s="20">
        <f>IF($E$24=0,0,C84/$E$24*INDEX('Data and Formulas'!$B$24:$I$38,6,5)+D84/$E$24*INDEX('Data and Formulas'!$B$24:$I$38,6,6)+E84/$E$24*INDEX('Data and Formulas'!$B$24:$I$38,6,7)+F84/$E$24*INDEX('Data and Formulas'!$B$24:$I$38,6,8))</f>
        <v>0</v>
      </c>
      <c r="M84" s="4"/>
      <c r="N84" s="7"/>
      <c r="R84" s="28"/>
      <c r="S84" s="28"/>
      <c r="T84" s="28"/>
      <c r="U84" s="28"/>
      <c r="X84" s="4"/>
      <c r="Y84" s="11"/>
      <c r="Z84" s="11"/>
      <c r="AA84" s="11"/>
    </row>
    <row r="85" spans="1:27" ht="12.75">
      <c r="A85" s="4">
        <v>7</v>
      </c>
      <c r="B85" s="4" t="s">
        <v>27</v>
      </c>
      <c r="C85" s="100"/>
      <c r="D85" s="100"/>
      <c r="E85" s="100"/>
      <c r="F85" s="100"/>
      <c r="G85" s="78">
        <f t="shared" si="1"/>
        <v>0</v>
      </c>
      <c r="H85" s="28"/>
      <c r="I85" s="20">
        <f>IF($E$24=0,0,C85/$E$24*INDEX('Data and Formulas'!$B$24:$I$38,7,5)+D85/$E$24*INDEX('Data and Formulas'!$B$24:$I$38,7,6)+E85/$E$24*INDEX('Data and Formulas'!$B$24:$I$38,7,7)+F85/$E$24*INDEX('Data and Formulas'!$B$24:$I$38,7,8))</f>
        <v>0</v>
      </c>
      <c r="M85" s="4"/>
      <c r="N85" s="7"/>
      <c r="R85" s="28"/>
      <c r="S85" s="28"/>
      <c r="T85" s="28"/>
      <c r="U85" s="28"/>
      <c r="X85" s="4"/>
      <c r="Y85" s="11"/>
      <c r="Z85" s="11"/>
      <c r="AA85" s="11"/>
    </row>
    <row r="86" spans="1:27" ht="12.75">
      <c r="A86" s="4">
        <v>8</v>
      </c>
      <c r="B86" s="4" t="s">
        <v>28</v>
      </c>
      <c r="C86" s="100"/>
      <c r="D86" s="100"/>
      <c r="E86" s="100"/>
      <c r="F86" s="100"/>
      <c r="G86" s="78">
        <f t="shared" si="1"/>
        <v>0</v>
      </c>
      <c r="H86" s="28"/>
      <c r="I86" s="20">
        <f>IF($E$24=0,0,C86/$E$24*INDEX('Data and Formulas'!$B$24:$I$38,8,5)+D86/$E$24*INDEX('Data and Formulas'!$B$24:$I$38,8,6)+E86/$E$24*INDEX('Data and Formulas'!$B$24:$I$38,8,7)+F86/$E$24*INDEX('Data and Formulas'!$B$24:$I$38,8,8))</f>
        <v>0</v>
      </c>
      <c r="M86" s="4"/>
      <c r="N86" s="7"/>
      <c r="R86" s="28"/>
      <c r="S86" s="28"/>
      <c r="T86" s="28"/>
      <c r="U86" s="28"/>
      <c r="X86" s="4"/>
      <c r="Y86" s="11"/>
      <c r="Z86" s="11"/>
      <c r="AA86" s="11"/>
    </row>
    <row r="87" spans="1:27" ht="12.75">
      <c r="A87" s="4">
        <v>9</v>
      </c>
      <c r="B87" s="4" t="s">
        <v>25</v>
      </c>
      <c r="C87" s="100"/>
      <c r="D87" s="100"/>
      <c r="E87" s="100"/>
      <c r="F87" s="100"/>
      <c r="G87" s="78">
        <f t="shared" si="1"/>
        <v>0</v>
      </c>
      <c r="H87" s="28"/>
      <c r="I87" s="20">
        <f>IF($E$24=0,0,C87/$E$24*INDEX('Data and Formulas'!$B$24:$I$38,9,5)+D87/$E$24*INDEX('Data and Formulas'!$B$24:$I$38,9,6)+E87/$E$24*INDEX('Data and Formulas'!$B$24:$I$38,9,7)+F87/$E$24*INDEX('Data and Formulas'!$B$24:$I$38,9,8))</f>
        <v>0</v>
      </c>
      <c r="M87" s="4"/>
      <c r="N87" s="7"/>
      <c r="R87" s="28"/>
      <c r="S87" s="28"/>
      <c r="T87" s="28"/>
      <c r="U87" s="28"/>
      <c r="X87" s="4"/>
      <c r="Y87" s="11"/>
      <c r="Z87" s="11"/>
      <c r="AA87" s="11"/>
    </row>
    <row r="88" spans="1:27" ht="12.75">
      <c r="A88" s="4">
        <v>10</v>
      </c>
      <c r="B88" s="4" t="s">
        <v>67</v>
      </c>
      <c r="C88" s="100"/>
      <c r="D88" s="100"/>
      <c r="E88" s="100"/>
      <c r="F88" s="100"/>
      <c r="G88" s="78">
        <f t="shared" si="1"/>
        <v>0</v>
      </c>
      <c r="H88" s="28"/>
      <c r="I88" s="20">
        <f>IF($E$24=0,0,C88/$E$24*INDEX('Data and Formulas'!$B$24:$I$38,10,5)+D88/$E$24*INDEX('Data and Formulas'!$B$24:$I$38,10,6)+E88/$E$24*INDEX('Data and Formulas'!$B$24:$I$38,10,7)+F88/$E$24*INDEX('Data and Formulas'!$B$24:$I$38,10,8))</f>
        <v>0</v>
      </c>
      <c r="M88" s="4"/>
      <c r="N88" s="7"/>
      <c r="R88" s="28"/>
      <c r="S88" s="28"/>
      <c r="T88" s="28"/>
      <c r="U88" s="28"/>
      <c r="X88" s="4"/>
      <c r="Y88" s="11"/>
      <c r="Z88" s="11"/>
      <c r="AA88" s="11"/>
    </row>
    <row r="89" spans="1:27" ht="12.75">
      <c r="A89" s="4">
        <v>11</v>
      </c>
      <c r="B89" s="4" t="s">
        <v>7</v>
      </c>
      <c r="C89" s="100"/>
      <c r="D89" s="100"/>
      <c r="E89" s="100"/>
      <c r="F89" s="100"/>
      <c r="G89" s="78">
        <f t="shared" si="1"/>
        <v>0</v>
      </c>
      <c r="H89" s="28"/>
      <c r="I89" s="20">
        <f>IF($E$24=0,0,C89/$E$24*INDEX('Data and Formulas'!$B$24:$I$38,11,5)+D89/$E$24*INDEX('Data and Formulas'!$B$24:$I$38,11,6)+E89/$E$24*INDEX('Data and Formulas'!$B$24:$I$38,11,7)+F89/$E$24*INDEX('Data and Formulas'!$B$24:$I$38,11,8))</f>
        <v>0</v>
      </c>
      <c r="M89" s="4"/>
      <c r="N89" s="7"/>
      <c r="R89" s="28"/>
      <c r="S89" s="28"/>
      <c r="T89" s="28"/>
      <c r="U89" s="28"/>
      <c r="X89" s="4"/>
      <c r="Y89" s="11"/>
      <c r="Z89" s="11"/>
      <c r="AA89" s="11"/>
    </row>
    <row r="90" spans="1:27" ht="12.75">
      <c r="A90" s="4">
        <v>12</v>
      </c>
      <c r="B90" s="4" t="s">
        <v>12</v>
      </c>
      <c r="C90" s="100"/>
      <c r="D90" s="100"/>
      <c r="E90" s="100"/>
      <c r="F90" s="100"/>
      <c r="G90" s="78">
        <f t="shared" si="1"/>
        <v>0</v>
      </c>
      <c r="H90" s="28"/>
      <c r="I90" s="20">
        <f>IF($E$24=0,0,C90/$E$24*INDEX('Data and Formulas'!$B$24:$I$38,12,5)+D90/$E$24*INDEX('Data and Formulas'!$B$24:$I$38,12,6)+E90/$E$24*INDEX('Data and Formulas'!$B$24:$I$38,12,7)+F90/$E$24*INDEX('Data and Formulas'!$B$24:$I$38,12,8))</f>
        <v>0</v>
      </c>
      <c r="M90" s="4"/>
      <c r="N90" s="7"/>
      <c r="R90" s="28"/>
      <c r="S90" s="28"/>
      <c r="T90" s="28"/>
      <c r="U90" s="28"/>
      <c r="X90" s="4"/>
      <c r="Y90" s="11"/>
      <c r="Z90" s="11"/>
      <c r="AA90" s="11"/>
    </row>
    <row r="91" spans="1:27" ht="12.75">
      <c r="A91" s="4">
        <v>13</v>
      </c>
      <c r="B91" s="4" t="s">
        <v>5</v>
      </c>
      <c r="C91" s="100"/>
      <c r="D91" s="100"/>
      <c r="E91" s="100"/>
      <c r="F91" s="100"/>
      <c r="G91" s="78">
        <f t="shared" si="1"/>
        <v>0</v>
      </c>
      <c r="H91" s="28"/>
      <c r="I91" s="20">
        <f>IF($E$24=0,0,C91/$E$24*INDEX('Data and Formulas'!$B$24:$I$38,13,5)+D91/$E$24*INDEX('Data and Formulas'!$B$24:$I$38,13,6)+E91/$E$24*INDEX('Data and Formulas'!$B$24:$I$38,13,7)+F91/$E$24*INDEX('Data and Formulas'!$B$24:$I$38,13,8))</f>
        <v>0</v>
      </c>
      <c r="M91" s="4"/>
      <c r="N91" s="7"/>
      <c r="R91" s="28"/>
      <c r="S91" s="28"/>
      <c r="T91" s="28"/>
      <c r="U91" s="28"/>
      <c r="X91" s="4"/>
      <c r="Y91" s="11"/>
      <c r="Z91" s="11"/>
      <c r="AA91" s="11"/>
    </row>
    <row r="92" spans="1:27" ht="12.75">
      <c r="A92" s="4">
        <v>14</v>
      </c>
      <c r="B92" s="4" t="s">
        <v>51</v>
      </c>
      <c r="C92" s="100"/>
      <c r="D92" s="100"/>
      <c r="E92" s="100"/>
      <c r="F92" s="100"/>
      <c r="G92" s="78">
        <f t="shared" si="1"/>
        <v>0</v>
      </c>
      <c r="H92" s="28"/>
      <c r="I92" s="20">
        <f>IF($E$24=0,0,C92/$E$24*INDEX('Data and Formulas'!$B$24:$I$38,14,5)+D92/$E$24*INDEX('Data and Formulas'!$B$24:$I$38,14,6)+E92/$E$24*INDEX('Data and Formulas'!$B$24:$I$38,14,7)+F92/$E$24*INDEX('Data and Formulas'!$B$24:$I$38,14,8))</f>
        <v>0</v>
      </c>
      <c r="M92" s="4"/>
      <c r="N92" s="7"/>
      <c r="R92" s="28"/>
      <c r="S92" s="28"/>
      <c r="T92" s="28"/>
      <c r="U92" s="28"/>
      <c r="X92" s="4"/>
      <c r="Y92" s="11"/>
      <c r="Z92" s="11"/>
      <c r="AA92" s="11"/>
    </row>
    <row r="93" spans="1:27" ht="12.75">
      <c r="A93" s="4">
        <v>15</v>
      </c>
      <c r="B93" s="4" t="s">
        <v>50</v>
      </c>
      <c r="C93" s="100"/>
      <c r="D93" s="100"/>
      <c r="E93" s="100"/>
      <c r="F93" s="100"/>
      <c r="G93" s="78">
        <f t="shared" si="1"/>
        <v>0</v>
      </c>
      <c r="H93" s="28"/>
      <c r="I93" s="20">
        <f>IF($E$24=0,0,C93/$E$24*INDEX('Data and Formulas'!$B$24:$I$38,15,5)+D93/$E$24*INDEX('Data and Formulas'!$B$24:$I$38,15,6)+E93/$E$24*INDEX('Data and Formulas'!$B$24:$I$38,15,7)+F93/$E$24*INDEX('Data and Formulas'!$B$24:$I$38,15,8))</f>
        <v>0</v>
      </c>
      <c r="M93" s="4"/>
      <c r="R93" s="28"/>
      <c r="S93" s="28"/>
      <c r="T93" s="28"/>
      <c r="U93" s="28"/>
      <c r="X93" s="4"/>
      <c r="Y93" s="11"/>
      <c r="Z93" s="11"/>
      <c r="AA93" s="11"/>
    </row>
    <row r="94" spans="13:27" ht="12.75">
      <c r="M94" s="4"/>
      <c r="N94" s="7"/>
      <c r="R94" s="28"/>
      <c r="S94" s="28"/>
      <c r="T94" s="28"/>
      <c r="U94" s="28"/>
      <c r="X94" s="4"/>
      <c r="Y94" s="11"/>
      <c r="Z94" s="11"/>
      <c r="AA94" s="11"/>
    </row>
    <row r="95" spans="2:9" ht="12.75">
      <c r="B95" s="6" t="s">
        <v>146</v>
      </c>
      <c r="C95" s="78">
        <f>SUM(C79:C93)</f>
        <v>0</v>
      </c>
      <c r="D95" s="78">
        <f>SUM(D79:D93)</f>
        <v>0</v>
      </c>
      <c r="E95" s="78">
        <f>SUM(E79:E93)</f>
        <v>0</v>
      </c>
      <c r="F95" s="78">
        <f>SUM(F79:F93)</f>
        <v>0</v>
      </c>
      <c r="G95" s="32"/>
      <c r="H95" s="6" t="s">
        <v>148</v>
      </c>
      <c r="I95" s="78">
        <f>SUM(G79:G93)</f>
        <v>0</v>
      </c>
    </row>
    <row r="96" spans="2:9" ht="12.75">
      <c r="B96" s="6" t="s">
        <v>147</v>
      </c>
      <c r="C96" s="97">
        <f>IF($E$24=0,0,C95/$E$24)</f>
        <v>0</v>
      </c>
      <c r="D96" s="97">
        <f>IF($E$24=0,0,D95/$E$24)</f>
        <v>0</v>
      </c>
      <c r="E96" s="97">
        <f>IF($E$24=0,0,E95/$E$24)</f>
        <v>0</v>
      </c>
      <c r="F96" s="97">
        <f>IF($E$24=0,0,F95/$E$24)</f>
        <v>0</v>
      </c>
      <c r="G96" s="27"/>
      <c r="H96" s="64" t="s">
        <v>149</v>
      </c>
      <c r="I96" s="97">
        <f>SUM(C96:F96)</f>
        <v>0</v>
      </c>
    </row>
    <row r="97" ht="12.75">
      <c r="C97" s="26">
        <f>IF(I96=0,"",IF(I96=1,"","PLEASE COMPLETE OR CORRECT LULC INPUT SO THAT TOTAL % AREA = 100%"))</f>
      </c>
    </row>
    <row r="98" spans="3:9" ht="12.75">
      <c r="C98" s="46">
        <f>IF('Data and Formulas'!C51=0,"",IF('Data and Formulas'!C51='Data and Formulas'!C45,"","NOTE:  POST-DEVELOPED HSG AREAS DO NOT EQUAL PRE-DEVELOPED"))</f>
      </c>
      <c r="I98" s="21"/>
    </row>
    <row r="99" spans="4:9" ht="12.75">
      <c r="D99" s="44"/>
      <c r="F99" s="45"/>
      <c r="H99" s="6" t="s">
        <v>150</v>
      </c>
      <c r="I99" s="41">
        <f>IF(I96=1,SUM(I79:I93),0)</f>
        <v>0</v>
      </c>
    </row>
    <row r="100" spans="6:9" ht="12.75">
      <c r="F100" s="45"/>
      <c r="I100" s="22"/>
    </row>
    <row r="101" spans="6:9" ht="12.75">
      <c r="F101" s="45"/>
      <c r="I101" s="22"/>
    </row>
    <row r="102" spans="1:9" ht="12.75">
      <c r="A102" s="1" t="s">
        <v>136</v>
      </c>
      <c r="I102" s="22"/>
    </row>
    <row r="103" ht="12.75">
      <c r="I103" s="22"/>
    </row>
    <row r="104" spans="2:9" ht="12.75">
      <c r="B104" t="s">
        <v>84</v>
      </c>
      <c r="E104" s="98">
        <f>IF(E24="",0,IF(E24=0,0,G91/E24))</f>
        <v>0</v>
      </c>
      <c r="F104" s="13" t="s">
        <v>97</v>
      </c>
      <c r="I104" s="22"/>
    </row>
    <row r="105" spans="2:9" ht="12.75">
      <c r="B105" t="s">
        <v>85</v>
      </c>
      <c r="E105" s="98">
        <f>IF(E24="",0,IF(E24=0,0,G92/E24))</f>
        <v>0</v>
      </c>
      <c r="F105" s="13" t="s">
        <v>97</v>
      </c>
      <c r="I105" s="22"/>
    </row>
    <row r="106" spans="2:9" ht="12.75">
      <c r="B106" t="s">
        <v>86</v>
      </c>
      <c r="E106" s="98">
        <f>IF(E24="",0,IF(E24=0,0,G93/E24))</f>
        <v>0</v>
      </c>
      <c r="F106" s="13" t="s">
        <v>97</v>
      </c>
      <c r="H106" s="4"/>
      <c r="I106" s="22"/>
    </row>
    <row r="107" spans="2:9" ht="12.75">
      <c r="B107" t="s">
        <v>87</v>
      </c>
      <c r="E107" s="98">
        <f>SUM(E104:E106)</f>
        <v>0</v>
      </c>
      <c r="F107" s="13" t="s">
        <v>97</v>
      </c>
      <c r="H107" s="4"/>
      <c r="I107" s="22"/>
    </row>
    <row r="108" spans="2:9" ht="12.75">
      <c r="B108" t="s">
        <v>88</v>
      </c>
      <c r="E108" s="98">
        <f>E104+0.85*E105+0.5*E106</f>
        <v>0</v>
      </c>
      <c r="F108" s="13" t="s">
        <v>97</v>
      </c>
      <c r="H108" s="4"/>
      <c r="I108" s="22"/>
    </row>
    <row r="109" spans="5:9" ht="12.75">
      <c r="E109" s="57"/>
      <c r="F109" s="4"/>
      <c r="I109" s="22"/>
    </row>
    <row r="110" spans="2:18" ht="12.75">
      <c r="B110" s="117" t="s">
        <v>83</v>
      </c>
      <c r="C110" s="117"/>
      <c r="D110" s="118"/>
      <c r="E110" s="102" t="s">
        <v>77</v>
      </c>
      <c r="F110" t="s">
        <v>156</v>
      </c>
      <c r="I110" s="22"/>
      <c r="R110" s="4" t="s">
        <v>77</v>
      </c>
    </row>
    <row r="111" spans="5:18" ht="12.75">
      <c r="E111" s="57"/>
      <c r="F111" s="4"/>
      <c r="I111" s="22"/>
      <c r="R111" s="4" t="s">
        <v>145</v>
      </c>
    </row>
    <row r="112" spans="2:18" ht="12.75">
      <c r="B112" s="119">
        <f>IF(E110="Table","Allowable Site Impervious Cover from Maximum Impervious Cover Table:   ","")</f>
      </c>
      <c r="C112" s="117"/>
      <c r="D112" s="118"/>
      <c r="E112" s="98">
        <f>IF(E110="Table",'Maximum Impervious Cover Table'!D28,"")</f>
      </c>
      <c r="F112" s="13"/>
      <c r="I112" s="22"/>
      <c r="R112" s="4"/>
    </row>
    <row r="113" spans="2:18" ht="12.75">
      <c r="B113" s="117">
        <f>IF(E110="Table","Note: See Maximum Impervious Cover Table Worksheet for Details","")</f>
      </c>
      <c r="C113" s="117"/>
      <c r="I113" s="22"/>
      <c r="R113" s="4"/>
    </row>
    <row r="114" spans="3:9" ht="12.75">
      <c r="C114" s="60"/>
      <c r="H114" s="6" t="s">
        <v>150</v>
      </c>
      <c r="I114" s="41">
        <f>IF(E110="",0,IF(E110="None",0,IF(E104+0.85*E105+0.5*E106&lt;E112,((1-(E104+0.85*E105+0.5*E106)/E112)*100*'Data and Formulas'!C51),0)))</f>
        <v>0</v>
      </c>
    </row>
    <row r="115" spans="3:9" ht="12.75">
      <c r="C115" s="59"/>
      <c r="H115" s="6"/>
      <c r="I115" s="58"/>
    </row>
    <row r="116" spans="5:9" ht="12.75">
      <c r="E116" s="58"/>
      <c r="I116" s="22"/>
    </row>
    <row r="117" spans="1:9" ht="12.75">
      <c r="A117" s="1" t="s">
        <v>137</v>
      </c>
      <c r="I117" s="22"/>
    </row>
    <row r="118" spans="1:9" ht="12.75">
      <c r="A118" s="1"/>
      <c r="I118" s="22"/>
    </row>
    <row r="119" spans="2:14" ht="12.75">
      <c r="B119" t="s">
        <v>17</v>
      </c>
      <c r="E119" s="103"/>
      <c r="F119" s="13" t="s">
        <v>97</v>
      </c>
      <c r="I119" s="22"/>
      <c r="N119" s="4"/>
    </row>
    <row r="120" spans="2:9" ht="12.75">
      <c r="B120" t="s">
        <v>89</v>
      </c>
      <c r="E120" s="103"/>
      <c r="F120" s="13" t="s">
        <v>97</v>
      </c>
      <c r="I120" s="22"/>
    </row>
    <row r="121" spans="8:9" ht="12.75">
      <c r="H121" s="6" t="s">
        <v>150</v>
      </c>
      <c r="I121" s="41">
        <f>IF(E120=0,0,IF(E119&gt;E120,0,(1-E119/E120)*100*'Data and Formulas'!C51))</f>
        <v>0</v>
      </c>
    </row>
    <row r="122" spans="8:9" ht="12.75">
      <c r="H122" s="6"/>
      <c r="I122" s="21"/>
    </row>
    <row r="123" spans="8:9" ht="12.75">
      <c r="H123" s="6"/>
      <c r="I123" s="21"/>
    </row>
    <row r="124" spans="1:9" ht="12.75">
      <c r="A124" s="1" t="s">
        <v>138</v>
      </c>
      <c r="I124" s="22"/>
    </row>
    <row r="125" spans="1:9" ht="12.75">
      <c r="A125" s="1"/>
      <c r="I125" s="22"/>
    </row>
    <row r="126" spans="2:9" ht="12.75">
      <c r="B126" t="s">
        <v>91</v>
      </c>
      <c r="E126" s="104"/>
      <c r="F126" s="13" t="s">
        <v>98</v>
      </c>
      <c r="I126" s="22"/>
    </row>
    <row r="127" spans="2:9" ht="12.75">
      <c r="B127" t="s">
        <v>65</v>
      </c>
      <c r="E127" s="104"/>
      <c r="F127" s="13" t="s">
        <v>98</v>
      </c>
      <c r="I127" s="22"/>
    </row>
    <row r="128" spans="2:9" ht="12.75">
      <c r="B128" t="s">
        <v>66</v>
      </c>
      <c r="E128" s="98">
        <f>IF(E126=0,0,E127/E126)</f>
        <v>0</v>
      </c>
      <c r="I128" s="22"/>
    </row>
    <row r="129" ht="12.75">
      <c r="I129" s="22"/>
    </row>
    <row r="130" spans="2:9" ht="12.75">
      <c r="B130" s="1">
        <f>IF(E127&gt;E126,"Error! Length of Swales Exceeds Total Length of Runoff Conveyance System. Please Correct Input Data.","")</f>
      </c>
      <c r="H130" s="6" t="s">
        <v>150</v>
      </c>
      <c r="I130" s="41">
        <f>IF(E128=0,0,IF(E128&gt;1,0,E128*200*'Data and Formulas'!C51))</f>
        <v>0</v>
      </c>
    </row>
    <row r="131" spans="2:9" ht="12.75">
      <c r="B131" s="1"/>
      <c r="H131" s="6"/>
      <c r="I131" s="58"/>
    </row>
    <row r="132" spans="2:9" ht="12.75">
      <c r="B132" s="1"/>
      <c r="H132" s="6"/>
      <c r="I132" s="58"/>
    </row>
    <row r="133" spans="1:9" ht="12.75">
      <c r="A133" s="1" t="s">
        <v>159</v>
      </c>
      <c r="B133" s="1"/>
      <c r="H133" s="6"/>
      <c r="I133" s="58"/>
    </row>
    <row r="134" spans="1:9" ht="12.75">
      <c r="A134" s="1"/>
      <c r="B134" s="49"/>
      <c r="H134" s="6"/>
      <c r="I134" s="58"/>
    </row>
    <row r="135" spans="2:10" ht="12.75">
      <c r="B135" s="49" t="s">
        <v>92</v>
      </c>
      <c r="E135" s="103"/>
      <c r="F135" s="13" t="s">
        <v>97</v>
      </c>
      <c r="H135" s="6"/>
      <c r="I135" s="58"/>
      <c r="J135" s="58"/>
    </row>
    <row r="136" spans="2:9" ht="12.75">
      <c r="B136" s="49" t="s">
        <v>119</v>
      </c>
      <c r="E136" s="105"/>
      <c r="F136" s="13" t="s">
        <v>96</v>
      </c>
      <c r="G136" s="46">
        <f>IF(E136="","",IF(E136=0,"",IF(E136&lt;0.5,"Note: Standard Lot Size Less Than Minimum Required","")))</f>
      </c>
      <c r="H136" s="6"/>
      <c r="I136" s="58"/>
    </row>
    <row r="137" spans="2:9" ht="12.75">
      <c r="B137" s="49" t="s">
        <v>93</v>
      </c>
      <c r="E137" s="105"/>
      <c r="F137" s="13" t="s">
        <v>96</v>
      </c>
      <c r="G137" s="54">
        <f>IF(E137="","",IF(E137=0,"",IF(E137&gt;0.25,"Note: Cluster Lot Size Greater Than Maximum Allowed","")))</f>
      </c>
      <c r="H137" s="6"/>
      <c r="I137" s="58"/>
    </row>
    <row r="138" spans="2:9" ht="12.75">
      <c r="B138" s="49" t="s">
        <v>160</v>
      </c>
      <c r="E138" s="103"/>
      <c r="F138" s="7" t="s">
        <v>94</v>
      </c>
      <c r="H138" s="46">
        <f>IF(E138="","",IF(E138=0,"",IF(E138&lt;0.25,"Note: Open Space Less Than Minimum Requiredl","")))</f>
      </c>
      <c r="I138" s="58"/>
    </row>
    <row r="139" spans="2:9" ht="12.75">
      <c r="B139" s="119"/>
      <c r="C139" s="119"/>
      <c r="D139" s="119"/>
      <c r="F139" s="4"/>
      <c r="H139" s="6"/>
      <c r="I139" s="58"/>
    </row>
    <row r="140" spans="2:9" ht="12.75">
      <c r="B140" s="49"/>
      <c r="H140" s="6" t="s">
        <v>150</v>
      </c>
      <c r="I140" s="41">
        <f>IF(E136&lt;0.5,0,IF(E137&gt;0.25,0,IF(E138&lt;0.25,0,E135*100*'Data and Formulas'!C51)))</f>
        <v>0</v>
      </c>
    </row>
    <row r="141" spans="8:9" ht="12.75">
      <c r="H141" s="6"/>
      <c r="I141" s="21"/>
    </row>
    <row r="142" ht="12.75">
      <c r="I142" s="22"/>
    </row>
    <row r="143" spans="1:9" ht="12.75">
      <c r="A143" s="1" t="s">
        <v>161</v>
      </c>
      <c r="I143" s="22"/>
    </row>
    <row r="144" spans="1:9" ht="12.75">
      <c r="A144" s="1"/>
      <c r="I144" s="22"/>
    </row>
    <row r="145" spans="1:9" ht="12.75">
      <c r="A145" s="1"/>
      <c r="B145" t="s">
        <v>101</v>
      </c>
      <c r="E145" s="102" t="s">
        <v>20</v>
      </c>
      <c r="F145" s="13" t="s">
        <v>99</v>
      </c>
      <c r="I145" s="22"/>
    </row>
    <row r="146" spans="2:9" ht="12.75">
      <c r="B146" t="s">
        <v>95</v>
      </c>
      <c r="E146" s="103"/>
      <c r="F146" s="13" t="s">
        <v>100</v>
      </c>
      <c r="I146" s="22"/>
    </row>
    <row r="147" ht="12.75">
      <c r="I147" s="22"/>
    </row>
    <row r="148" spans="2:9" ht="12.75">
      <c r="B148" s="1"/>
      <c r="H148" s="6" t="s">
        <v>150</v>
      </c>
      <c r="I148" s="41">
        <f>IF(E145="",0,LOOKUP(E145,'Data and Formulas'!B62:B63,'Data and Formulas'!C62:C63*E146))</f>
        <v>0</v>
      </c>
    </row>
    <row r="149" ht="12.75">
      <c r="I149" s="22"/>
    </row>
    <row r="150" ht="12.75">
      <c r="I150" s="22"/>
    </row>
    <row r="151" spans="1:9" ht="12.75">
      <c r="A151" s="1" t="s">
        <v>162</v>
      </c>
      <c r="I151" s="22"/>
    </row>
    <row r="152" spans="1:9" ht="12.75">
      <c r="A152" s="1"/>
      <c r="I152" s="22"/>
    </row>
    <row r="153" spans="2:9" ht="12.75">
      <c r="B153" t="s">
        <v>18</v>
      </c>
      <c r="E153" s="102" t="s">
        <v>20</v>
      </c>
      <c r="F153" s="13" t="s">
        <v>99</v>
      </c>
      <c r="I153" s="22"/>
    </row>
    <row r="154" spans="2:9" ht="12.75">
      <c r="B154" t="s">
        <v>168</v>
      </c>
      <c r="E154" s="102" t="s">
        <v>20</v>
      </c>
      <c r="F154" s="13" t="s">
        <v>99</v>
      </c>
      <c r="I154" s="22"/>
    </row>
    <row r="155" spans="2:9" ht="12.75">
      <c r="B155" t="s">
        <v>167</v>
      </c>
      <c r="E155" s="102" t="s">
        <v>20</v>
      </c>
      <c r="F155" s="13" t="s">
        <v>99</v>
      </c>
      <c r="I155" s="22"/>
    </row>
    <row r="156" spans="8:9" ht="12.75">
      <c r="H156" s="6" t="s">
        <v>150</v>
      </c>
      <c r="I156" s="41">
        <f>IF(E153="",0,IF(E154="",0,IF(E155="",0,LOOKUP(E153,'Data and Formulas'!B68:B69,'Data and Formulas'!C68:C69)+LOOKUP(E154,'Data and Formulas'!B68:B69,'Data and Formulas'!C68:C69)+LOOKUP(E155,'Data and Formulas'!B68:B69,'Data and Formulas'!C68:C69))))</f>
        <v>0</v>
      </c>
    </row>
    <row r="157" spans="5:9" ht="12.75">
      <c r="E157" s="53"/>
      <c r="F157" s="4"/>
      <c r="H157" s="6"/>
      <c r="I157" s="58"/>
    </row>
    <row r="158" spans="2:9" ht="12.75">
      <c r="B158" s="1" t="s">
        <v>163</v>
      </c>
      <c r="I158" s="22"/>
    </row>
    <row r="159" ht="12.75">
      <c r="I159" s="22"/>
    </row>
    <row r="160" ht="12.75">
      <c r="I160" s="22"/>
    </row>
    <row r="161" spans="8:9" ht="15">
      <c r="H161" s="35" t="s">
        <v>152</v>
      </c>
      <c r="I161" s="39">
        <f>I99+I114+I121+I130+I140+I156+I148</f>
        <v>0</v>
      </c>
    </row>
    <row r="165" spans="8:9" ht="15">
      <c r="H165" s="35" t="s">
        <v>153</v>
      </c>
      <c r="I165" s="40">
        <f>IF(I67=0,"",I161/I67)</f>
      </c>
    </row>
    <row r="167" spans="8:9" ht="15">
      <c r="H167" s="35" t="s">
        <v>154</v>
      </c>
      <c r="I167" s="40">
        <f>IF(I30="","",IF(I30=0,"",'Data and Formulas'!I18))</f>
      </c>
    </row>
    <row r="168" spans="12:19" ht="12.75">
      <c r="L168" s="4"/>
      <c r="M168" s="4"/>
      <c r="N168" s="4"/>
      <c r="O168" s="4"/>
      <c r="P168" s="4"/>
      <c r="Q168" s="4"/>
      <c r="R168" s="4"/>
      <c r="S168" s="4"/>
    </row>
    <row r="169" ht="12.75">
      <c r="D169" s="42">
        <f>IF(I167="SEE NOTE","NOTE: TOTAL AREA AND PLANNING AREA PERCENTAGES MUST BE SPECIFIED","")</f>
      </c>
    </row>
    <row r="171" spans="2:10" ht="17.25">
      <c r="B171" s="61" t="s">
        <v>64</v>
      </c>
      <c r="C171" s="111">
        <f>IF(I165="","",IF(I165&lt;I167,"Further Review of Proposed Nonstructural Measures is Necessary","Proposed Nonstructural Measures are Adequate"))</f>
      </c>
      <c r="D171" s="112"/>
      <c r="E171" s="112"/>
      <c r="F171" s="112"/>
      <c r="G171" s="112"/>
      <c r="H171" s="112"/>
      <c r="I171" s="113"/>
      <c r="J171" s="50"/>
    </row>
  </sheetData>
  <sheetProtection password="E902" sheet="1" objects="1" scenarios="1"/>
  <mergeCells count="10">
    <mergeCell ref="B8:E8"/>
    <mergeCell ref="B14:E14"/>
    <mergeCell ref="B16:E16"/>
    <mergeCell ref="B18:E18"/>
    <mergeCell ref="C171:I171"/>
    <mergeCell ref="B17:E17"/>
    <mergeCell ref="B110:D110"/>
    <mergeCell ref="B112:D112"/>
    <mergeCell ref="B113:C113"/>
    <mergeCell ref="B139:D139"/>
  </mergeCells>
  <conditionalFormatting sqref="C171">
    <cfRule type="cellIs" priority="1" dxfId="5" operator="equal" stopIfTrue="1">
      <formula>"Proposed Nonstructural Measures are Adequate"</formula>
    </cfRule>
    <cfRule type="cellIs" priority="2" dxfId="6" operator="equal" stopIfTrue="1">
      <formula>"Further Review of Proposed Nonstructural Measures is Necessary"</formula>
    </cfRule>
  </conditionalFormatting>
  <conditionalFormatting sqref="E112">
    <cfRule type="expression" priority="3" dxfId="7" stopIfTrue="1">
      <formula>"E107=""User Specified"""</formula>
    </cfRule>
    <cfRule type="expression" priority="4" dxfId="7" stopIfTrue="1">
      <formula>"E107=""Default Table"""</formula>
    </cfRule>
    <cfRule type="expression" priority="5" dxfId="0" stopIfTrue="1">
      <formula>"E107=""None"""</formula>
    </cfRule>
  </conditionalFormatting>
  <dataValidations count="4">
    <dataValidation type="list" allowBlank="1" showInputMessage="1" showErrorMessage="1" errorTitle="Invalid Response" error="Please Select Yes or No" sqref="E153 E155 E145">
      <formula1>Answers</formula1>
    </dataValidation>
    <dataValidation allowBlank="1" showInputMessage="1" showErrorMessage="1" errorTitle="Invalid Response" error="Please Select Yes or No" sqref="E157"/>
    <dataValidation type="list" showInputMessage="1" showErrorMessage="1" errorTitle="Invalid Response" error="Please Select Yes or No" sqref="E154">
      <formula1>Answers</formula1>
    </dataValidation>
    <dataValidation type="list" allowBlank="1" showInputMessage="1" showErrorMessage="1" errorTitle="Invalid Response" error="Please Select from Drop-Down Menu" sqref="E110">
      <formula1>$R$110:$R$111</formula1>
    </dataValidation>
  </dataValidations>
  <printOptions/>
  <pageMargins left="0.75" right="0.75" top="0.99" bottom="1" header="0.5" footer="0.5"/>
  <pageSetup horizontalDpi="600" verticalDpi="600" orientation="landscape" scale="85" r:id="rId1"/>
  <rowBreaks count="5" manualBreakCount="5">
    <brk id="34" max="255" man="1"/>
    <brk id="69" max="255" man="1"/>
    <brk id="100" max="255" man="1"/>
    <brk id="142" max="8" man="1"/>
    <brk id="17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="85" zoomScaleNormal="85" zoomScalePageLayoutView="0" workbookViewId="0" topLeftCell="A1">
      <selection activeCell="E13" sqref="E13:E24"/>
    </sheetView>
  </sheetViews>
  <sheetFormatPr defaultColWidth="9.140625" defaultRowHeight="12.75"/>
  <cols>
    <col min="1" max="1" width="28.7109375" style="0" customWidth="1"/>
    <col min="2" max="5" width="20.7109375" style="0" customWidth="1"/>
  </cols>
  <sheetData>
    <row r="1" ht="15">
      <c r="A1" s="36" t="s">
        <v>144</v>
      </c>
    </row>
    <row r="2" spans="1:11" ht="12.75">
      <c r="A2" s="1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ht="15">
      <c r="A3" s="36" t="s">
        <v>140</v>
      </c>
    </row>
    <row r="4" spans="1:11" ht="12.75">
      <c r="A4" s="1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8" ht="12.75">
      <c r="A5" s="6" t="s">
        <v>130</v>
      </c>
      <c r="B5" s="124">
        <f>IF('NSPS Computations'!B8:E8="","",'NSPS Computations'!B8:E8)</f>
      </c>
      <c r="C5" s="125"/>
      <c r="D5" s="125"/>
      <c r="E5" s="126"/>
      <c r="F5" s="81"/>
      <c r="G5" s="81"/>
      <c r="H5" s="81"/>
    </row>
    <row r="6" spans="1:8" ht="12.75">
      <c r="A6" s="6"/>
      <c r="B6" s="93"/>
      <c r="C6" s="93"/>
      <c r="D6" s="93"/>
      <c r="E6" s="93"/>
      <c r="F6" s="81"/>
      <c r="G6" s="81"/>
      <c r="H6" s="81"/>
    </row>
    <row r="7" spans="1:5" ht="12.75">
      <c r="A7" s="6" t="s">
        <v>128</v>
      </c>
      <c r="B7" s="68">
        <f>IF('NSPS Computations'!E24="","",'NSPS Computations'!E24)</f>
        <v>9.1</v>
      </c>
      <c r="C7" s="19" t="s">
        <v>129</v>
      </c>
      <c r="D7" s="6" t="s">
        <v>127</v>
      </c>
      <c r="E7" s="95">
        <f>IF('NSPS Computations'!B10="","",'NSPS Computations'!B10)</f>
      </c>
    </row>
    <row r="8" spans="1:3" ht="12.75">
      <c r="A8" s="9"/>
      <c r="B8" s="80"/>
      <c r="C8" s="9"/>
    </row>
    <row r="9" spans="1:3" ht="12.75">
      <c r="A9" s="9"/>
      <c r="B9" s="80"/>
      <c r="C9" s="9"/>
    </row>
    <row r="10" spans="1:5" ht="16.5">
      <c r="A10" s="82"/>
      <c r="B10" s="122" t="s">
        <v>171</v>
      </c>
      <c r="C10" s="123"/>
      <c r="D10" s="122" t="s">
        <v>172</v>
      </c>
      <c r="E10" s="123"/>
    </row>
    <row r="11" spans="1:5" ht="33">
      <c r="A11" s="83" t="s">
        <v>75</v>
      </c>
      <c r="B11" s="87" t="s">
        <v>141</v>
      </c>
      <c r="C11" s="88" t="s">
        <v>122</v>
      </c>
      <c r="D11" s="87" t="s">
        <v>141</v>
      </c>
      <c r="E11" s="88" t="s">
        <v>122</v>
      </c>
    </row>
    <row r="12" spans="1:5" ht="12.75">
      <c r="A12" s="84" t="s">
        <v>113</v>
      </c>
      <c r="B12" s="89"/>
      <c r="C12" s="90"/>
      <c r="D12" s="89"/>
      <c r="E12" s="90"/>
    </row>
    <row r="13" spans="1:8" ht="12.75">
      <c r="A13" s="85" t="s">
        <v>68</v>
      </c>
      <c r="B13" s="91">
        <v>0.65</v>
      </c>
      <c r="C13" s="100"/>
      <c r="D13" s="91">
        <v>0.12</v>
      </c>
      <c r="E13" s="100"/>
      <c r="F13" s="1"/>
      <c r="G13" s="1"/>
      <c r="H13" s="1"/>
    </row>
    <row r="14" spans="1:8" ht="12.75">
      <c r="A14" s="85" t="s">
        <v>69</v>
      </c>
      <c r="B14" s="91">
        <v>0.38</v>
      </c>
      <c r="C14" s="100"/>
      <c r="D14" s="91">
        <v>0.12</v>
      </c>
      <c r="E14" s="100"/>
      <c r="F14" s="1"/>
      <c r="G14" s="1"/>
      <c r="H14" s="1"/>
    </row>
    <row r="15" spans="1:8" ht="12.75">
      <c r="A15" s="85" t="s">
        <v>70</v>
      </c>
      <c r="B15" s="91">
        <v>0.3</v>
      </c>
      <c r="C15" s="100"/>
      <c r="D15" s="91">
        <v>0.12</v>
      </c>
      <c r="E15" s="100"/>
      <c r="F15" s="1"/>
      <c r="G15" s="1"/>
      <c r="H15" s="1"/>
    </row>
    <row r="16" spans="1:8" ht="12.75">
      <c r="A16" s="85" t="s">
        <v>71</v>
      </c>
      <c r="B16" s="91">
        <v>0.25</v>
      </c>
      <c r="C16" s="100"/>
      <c r="D16" s="91">
        <v>0.12</v>
      </c>
      <c r="E16" s="100"/>
      <c r="F16" s="1"/>
      <c r="G16" s="1"/>
      <c r="H16" s="1"/>
    </row>
    <row r="17" spans="1:8" ht="12.75">
      <c r="A17" s="85" t="s">
        <v>72</v>
      </c>
      <c r="B17" s="91">
        <v>0.2</v>
      </c>
      <c r="C17" s="100"/>
      <c r="D17" s="91">
        <v>0.12</v>
      </c>
      <c r="E17" s="100"/>
      <c r="F17" s="1"/>
      <c r="G17" s="1"/>
      <c r="H17" s="1"/>
    </row>
    <row r="18" spans="1:8" ht="12.75">
      <c r="A18" s="85" t="s">
        <v>73</v>
      </c>
      <c r="B18" s="91">
        <v>0.12</v>
      </c>
      <c r="C18" s="100"/>
      <c r="D18" s="91">
        <v>0.12</v>
      </c>
      <c r="E18" s="100"/>
      <c r="F18" s="1"/>
      <c r="G18" s="1"/>
      <c r="H18" s="1"/>
    </row>
    <row r="19" spans="1:5" ht="12.75">
      <c r="A19" s="85" t="s">
        <v>74</v>
      </c>
      <c r="B19" s="91">
        <v>0.1</v>
      </c>
      <c r="C19" s="100"/>
      <c r="D19" s="91">
        <v>0.1</v>
      </c>
      <c r="E19" s="100"/>
    </row>
    <row r="20" spans="1:5" ht="12.75">
      <c r="A20" s="85" t="s">
        <v>114</v>
      </c>
      <c r="B20" s="91">
        <v>0.85</v>
      </c>
      <c r="C20" s="100"/>
      <c r="D20" s="91">
        <v>0.12</v>
      </c>
      <c r="E20" s="100"/>
    </row>
    <row r="21" spans="1:5" ht="12.75">
      <c r="A21" s="85" t="s">
        <v>115</v>
      </c>
      <c r="B21" s="91">
        <v>0.85</v>
      </c>
      <c r="C21" s="100"/>
      <c r="D21" s="91">
        <v>0.12</v>
      </c>
      <c r="E21" s="100"/>
    </row>
    <row r="22" spans="1:5" ht="12.75">
      <c r="A22" s="85" t="s">
        <v>116</v>
      </c>
      <c r="B22" s="91">
        <v>0.72</v>
      </c>
      <c r="C22" s="100"/>
      <c r="D22" s="91">
        <v>0.12</v>
      </c>
      <c r="E22" s="100"/>
    </row>
    <row r="23" spans="1:5" ht="12.75">
      <c r="A23" s="85" t="s">
        <v>117</v>
      </c>
      <c r="B23" s="91">
        <v>0.72</v>
      </c>
      <c r="C23" s="100"/>
      <c r="D23" s="91">
        <v>0.12</v>
      </c>
      <c r="E23" s="100"/>
    </row>
    <row r="24" spans="1:5" ht="12.75">
      <c r="A24" s="86" t="s">
        <v>118</v>
      </c>
      <c r="B24" s="92">
        <v>0.65</v>
      </c>
      <c r="C24" s="100"/>
      <c r="D24" s="91">
        <v>0.12</v>
      </c>
      <c r="E24" s="100"/>
    </row>
    <row r="25" spans="1:3" ht="12.75">
      <c r="A25" s="13"/>
      <c r="B25" s="30"/>
      <c r="C25" s="53"/>
    </row>
    <row r="26" spans="1:6" ht="12.75">
      <c r="A26" s="13"/>
      <c r="B26" s="73" t="s">
        <v>123</v>
      </c>
      <c r="C26" s="94">
        <f>SUM(C13:C24)</f>
        <v>0</v>
      </c>
      <c r="D26" s="1"/>
      <c r="E26" s="94">
        <f>SUM(E13:E24)</f>
        <v>0</v>
      </c>
      <c r="F26" s="1"/>
    </row>
    <row r="27" spans="1:3" ht="12.75">
      <c r="A27" s="54">
        <f>IF(C26+E26=B7,"",IF(C26+E26=0,"","                               WARNING: TOTAL ZONE AREAS DO NOT EQUAL TOTAL SITE AREA - PLEASE COMPLETE OR CORRECT INPUT"))</f>
      </c>
      <c r="C27" s="4"/>
    </row>
    <row r="28" spans="3:4" ht="12.75">
      <c r="C28" s="6" t="s">
        <v>143</v>
      </c>
      <c r="D28" s="56">
        <f>IF(B7=0,0,IF(C26+E26=B7,(B13*C13+B14*C14+B15*C15+B16*C16+B17*C17+B18*C18+B19*C19+B20*C20+B21*C21+B22*C22+B23*C23+B24*C24+D13*E13+D14*E14+D15*E15+D16*E16+D17*E17+D18*E18+D19*E19+D20*E20+D21*E21+D22*E22+D23*E23+D24*E24)/(C26+E26),0))</f>
        <v>0</v>
      </c>
    </row>
    <row r="30" ht="12.75">
      <c r="A30" s="1" t="s">
        <v>142</v>
      </c>
    </row>
    <row r="31" ht="12.75">
      <c r="A31" s="49" t="s">
        <v>157</v>
      </c>
    </row>
    <row r="32" ht="12.75">
      <c r="A32" s="49" t="s">
        <v>158</v>
      </c>
    </row>
    <row r="33" ht="12.75">
      <c r="A33" s="49" t="s">
        <v>124</v>
      </c>
    </row>
    <row r="35" ht="12.75">
      <c r="A35" s="49"/>
    </row>
    <row r="36" ht="12.75">
      <c r="A36" s="49"/>
    </row>
    <row r="37" ht="12.75">
      <c r="A37" s="49"/>
    </row>
    <row r="38" ht="12.75">
      <c r="A38" s="49"/>
    </row>
  </sheetData>
  <sheetProtection password="E902" sheet="1" objects="1" scenarios="1"/>
  <mergeCells count="3">
    <mergeCell ref="B10:C10"/>
    <mergeCell ref="D10:E10"/>
    <mergeCell ref="B5:E5"/>
  </mergeCells>
  <printOptions/>
  <pageMargins left="1.11" right="0.75" top="0.95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85" zoomScaleNormal="85" zoomScalePageLayoutView="0" workbookViewId="0" topLeftCell="A1">
      <selection activeCell="M10" sqref="M10"/>
    </sheetView>
  </sheetViews>
  <sheetFormatPr defaultColWidth="9.140625" defaultRowHeight="12.75"/>
  <cols>
    <col min="1" max="1" width="10.7109375" style="0" customWidth="1"/>
    <col min="2" max="2" width="41.7109375" style="0" customWidth="1"/>
    <col min="3" max="4" width="12.7109375" style="0" customWidth="1"/>
    <col min="5" max="8" width="10.7109375" style="0" customWidth="1"/>
  </cols>
  <sheetData>
    <row r="1" ht="15">
      <c r="A1" s="36" t="s">
        <v>144</v>
      </c>
    </row>
    <row r="2" ht="15">
      <c r="A2" s="36"/>
    </row>
    <row r="3" ht="15">
      <c r="A3" s="36" t="s">
        <v>121</v>
      </c>
    </row>
    <row r="4" ht="15">
      <c r="A4" s="36"/>
    </row>
    <row r="5" ht="12.75">
      <c r="A5" s="49"/>
    </row>
    <row r="6" spans="1:8" ht="12.75">
      <c r="A6" s="6" t="s">
        <v>130</v>
      </c>
      <c r="B6" s="129">
        <f>IF('NSPS Computations'!B8="","",'NSPS Computations'!B8)</f>
      </c>
      <c r="C6" s="130"/>
      <c r="D6" s="130"/>
      <c r="E6" s="130"/>
      <c r="F6" s="130"/>
      <c r="G6" s="130"/>
      <c r="H6" s="131"/>
    </row>
    <row r="7" spans="1:2" ht="12.75">
      <c r="A7" s="1"/>
      <c r="B7" s="55"/>
    </row>
    <row r="8" spans="1:8" ht="12.75">
      <c r="A8" s="74"/>
      <c r="B8" s="6" t="s">
        <v>127</v>
      </c>
      <c r="C8" s="127">
        <f>IF('NSPS Computations'!B10="","",'NSPS Computations'!B10)</f>
      </c>
      <c r="D8" s="128"/>
      <c r="F8" s="6" t="s">
        <v>128</v>
      </c>
      <c r="G8" s="68">
        <f>IF('NSPS Computations'!E24="","",'NSPS Computations'!E24)</f>
        <v>9.1</v>
      </c>
      <c r="H8" s="19" t="s">
        <v>129</v>
      </c>
    </row>
    <row r="10" spans="1:8" ht="33">
      <c r="A10" s="2" t="s">
        <v>13</v>
      </c>
      <c r="B10" s="2" t="s">
        <v>15</v>
      </c>
      <c r="C10" s="2" t="s">
        <v>62</v>
      </c>
      <c r="D10" s="2" t="s">
        <v>61</v>
      </c>
      <c r="E10" s="2" t="s">
        <v>56</v>
      </c>
      <c r="F10" s="2" t="s">
        <v>57</v>
      </c>
      <c r="G10" s="2" t="s">
        <v>58</v>
      </c>
      <c r="H10" s="2" t="s">
        <v>60</v>
      </c>
    </row>
    <row r="11" spans="1:8" ht="12.75">
      <c r="A11" s="4">
        <v>1</v>
      </c>
      <c r="B11" s="4" t="s">
        <v>132</v>
      </c>
      <c r="C11" s="99">
        <f>'NSPS Computations'!G44</f>
        <v>0</v>
      </c>
      <c r="D11" s="99">
        <f>'NSPS Computations'!G79</f>
        <v>0</v>
      </c>
      <c r="E11" s="99">
        <f>D11-C11</f>
        <v>0</v>
      </c>
      <c r="F11" s="20">
        <f>'NSPS Computations'!I44</f>
        <v>0</v>
      </c>
      <c r="G11" s="20">
        <f>'NSPS Computations'!I79</f>
        <v>0</v>
      </c>
      <c r="H11" s="20">
        <f>G11-F11</f>
        <v>0</v>
      </c>
    </row>
    <row r="12" spans="1:8" ht="12.75">
      <c r="A12" s="4">
        <v>2</v>
      </c>
      <c r="B12" s="4" t="s">
        <v>6</v>
      </c>
      <c r="C12" s="99">
        <f>'NSPS Computations'!G45</f>
        <v>0</v>
      </c>
      <c r="D12" s="99">
        <f>'NSPS Computations'!G80</f>
        <v>0</v>
      </c>
      <c r="E12" s="99">
        <f aca="true" t="shared" si="0" ref="E12:E25">D12-C12</f>
        <v>0</v>
      </c>
      <c r="F12" s="20">
        <f>'NSPS Computations'!I45</f>
        <v>0</v>
      </c>
      <c r="G12" s="20">
        <f>'NSPS Computations'!I80</f>
        <v>0</v>
      </c>
      <c r="H12" s="20">
        <f aca="true" t="shared" si="1" ref="H12:H25">G12-F12</f>
        <v>0</v>
      </c>
    </row>
    <row r="13" spans="1:8" ht="12.75">
      <c r="A13" s="4">
        <v>3</v>
      </c>
      <c r="B13" s="4" t="s">
        <v>9</v>
      </c>
      <c r="C13" s="99">
        <f>'NSPS Computations'!G46</f>
        <v>0</v>
      </c>
      <c r="D13" s="99">
        <f>'NSPS Computations'!G81</f>
        <v>0</v>
      </c>
      <c r="E13" s="99">
        <f t="shared" si="0"/>
        <v>0</v>
      </c>
      <c r="F13" s="20">
        <f>'NSPS Computations'!I46</f>
        <v>0</v>
      </c>
      <c r="G13" s="20">
        <f>'NSPS Computations'!I81</f>
        <v>0</v>
      </c>
      <c r="H13" s="20">
        <f t="shared" si="1"/>
        <v>0</v>
      </c>
    </row>
    <row r="14" spans="1:8" ht="12.75">
      <c r="A14" s="4">
        <v>4</v>
      </c>
      <c r="B14" s="4" t="s">
        <v>8</v>
      </c>
      <c r="C14" s="99">
        <f>'NSPS Computations'!G47</f>
        <v>0</v>
      </c>
      <c r="D14" s="99">
        <f>'NSPS Computations'!G82</f>
        <v>0</v>
      </c>
      <c r="E14" s="99">
        <f t="shared" si="0"/>
        <v>0</v>
      </c>
      <c r="F14" s="20">
        <f>'NSPS Computations'!I47</f>
        <v>0</v>
      </c>
      <c r="G14" s="20">
        <f>'NSPS Computations'!I82</f>
        <v>0</v>
      </c>
      <c r="H14" s="20">
        <f t="shared" si="1"/>
        <v>0</v>
      </c>
    </row>
    <row r="15" spans="1:8" ht="12.75">
      <c r="A15" s="4">
        <v>5</v>
      </c>
      <c r="B15" s="4" t="s">
        <v>10</v>
      </c>
      <c r="C15" s="99">
        <f>'NSPS Computations'!G48</f>
        <v>0</v>
      </c>
      <c r="D15" s="99">
        <f>'NSPS Computations'!G83</f>
        <v>0</v>
      </c>
      <c r="E15" s="99">
        <f t="shared" si="0"/>
        <v>0</v>
      </c>
      <c r="F15" s="20">
        <f>'NSPS Computations'!I48</f>
        <v>0</v>
      </c>
      <c r="G15" s="20">
        <f>'NSPS Computations'!I83</f>
        <v>0</v>
      </c>
      <c r="H15" s="20">
        <f t="shared" si="1"/>
        <v>0</v>
      </c>
    </row>
    <row r="16" spans="1:8" ht="12.75">
      <c r="A16" s="4">
        <v>6</v>
      </c>
      <c r="B16" s="4" t="s">
        <v>11</v>
      </c>
      <c r="C16" s="99">
        <f>'NSPS Computations'!G49</f>
        <v>0</v>
      </c>
      <c r="D16" s="99">
        <f>'NSPS Computations'!G84</f>
        <v>0</v>
      </c>
      <c r="E16" s="99">
        <f t="shared" si="0"/>
        <v>0</v>
      </c>
      <c r="F16" s="20">
        <f>'NSPS Computations'!I49</f>
        <v>0</v>
      </c>
      <c r="G16" s="20">
        <f>'NSPS Computations'!I84</f>
        <v>0</v>
      </c>
      <c r="H16" s="20">
        <f t="shared" si="1"/>
        <v>0</v>
      </c>
    </row>
    <row r="17" spans="1:8" ht="12.75">
      <c r="A17" s="4">
        <v>7</v>
      </c>
      <c r="B17" s="4" t="s">
        <v>27</v>
      </c>
      <c r="C17" s="99">
        <f>'NSPS Computations'!G50</f>
        <v>0</v>
      </c>
      <c r="D17" s="99">
        <f>'NSPS Computations'!G85</f>
        <v>0</v>
      </c>
      <c r="E17" s="99">
        <f t="shared" si="0"/>
        <v>0</v>
      </c>
      <c r="F17" s="20">
        <f>'NSPS Computations'!I50</f>
        <v>0</v>
      </c>
      <c r="G17" s="20">
        <f>'NSPS Computations'!I85</f>
        <v>0</v>
      </c>
      <c r="H17" s="20">
        <f t="shared" si="1"/>
        <v>0</v>
      </c>
    </row>
    <row r="18" spans="1:8" ht="12.75">
      <c r="A18" s="4">
        <v>8</v>
      </c>
      <c r="B18" s="4" t="s">
        <v>28</v>
      </c>
      <c r="C18" s="99">
        <f>'NSPS Computations'!G51</f>
        <v>0</v>
      </c>
      <c r="D18" s="99">
        <f>'NSPS Computations'!G86</f>
        <v>0</v>
      </c>
      <c r="E18" s="99">
        <f t="shared" si="0"/>
        <v>0</v>
      </c>
      <c r="F18" s="20">
        <f>'NSPS Computations'!I51</f>
        <v>0</v>
      </c>
      <c r="G18" s="20">
        <f>'NSPS Computations'!I86</f>
        <v>0</v>
      </c>
      <c r="H18" s="20">
        <f t="shared" si="1"/>
        <v>0</v>
      </c>
    </row>
    <row r="19" spans="1:8" ht="12.75">
      <c r="A19" s="4">
        <v>9</v>
      </c>
      <c r="B19" s="4" t="s">
        <v>25</v>
      </c>
      <c r="C19" s="99">
        <f>'NSPS Computations'!G52</f>
        <v>0</v>
      </c>
      <c r="D19" s="99">
        <f>'NSPS Computations'!G87</f>
        <v>0</v>
      </c>
      <c r="E19" s="99">
        <f t="shared" si="0"/>
        <v>0</v>
      </c>
      <c r="F19" s="20">
        <f>'NSPS Computations'!I52</f>
        <v>0</v>
      </c>
      <c r="G19" s="20">
        <f>'NSPS Computations'!I87</f>
        <v>0</v>
      </c>
      <c r="H19" s="20">
        <f t="shared" si="1"/>
        <v>0</v>
      </c>
    </row>
    <row r="20" spans="1:8" ht="12.75">
      <c r="A20" s="4">
        <v>10</v>
      </c>
      <c r="B20" s="4" t="s">
        <v>67</v>
      </c>
      <c r="C20" s="99">
        <f>'NSPS Computations'!G53</f>
        <v>0</v>
      </c>
      <c r="D20" s="99">
        <f>'NSPS Computations'!G88</f>
        <v>0</v>
      </c>
      <c r="E20" s="99">
        <f t="shared" si="0"/>
        <v>0</v>
      </c>
      <c r="F20" s="20">
        <f>'NSPS Computations'!I53</f>
        <v>0</v>
      </c>
      <c r="G20" s="20">
        <f>'NSPS Computations'!I88</f>
        <v>0</v>
      </c>
      <c r="H20" s="20">
        <f t="shared" si="1"/>
        <v>0</v>
      </c>
    </row>
    <row r="21" spans="1:8" ht="12.75">
      <c r="A21" s="4">
        <v>11</v>
      </c>
      <c r="B21" s="4" t="s">
        <v>7</v>
      </c>
      <c r="C21" s="99">
        <f>'NSPS Computations'!G54</f>
        <v>0</v>
      </c>
      <c r="D21" s="99">
        <f>'NSPS Computations'!G89</f>
        <v>0</v>
      </c>
      <c r="E21" s="99">
        <f t="shared" si="0"/>
        <v>0</v>
      </c>
      <c r="F21" s="20">
        <f>'NSPS Computations'!I54</f>
        <v>0</v>
      </c>
      <c r="G21" s="20">
        <f>'NSPS Computations'!I89</f>
        <v>0</v>
      </c>
      <c r="H21" s="20">
        <f t="shared" si="1"/>
        <v>0</v>
      </c>
    </row>
    <row r="22" spans="1:8" ht="12.75">
      <c r="A22" s="4">
        <v>12</v>
      </c>
      <c r="B22" s="4" t="s">
        <v>12</v>
      </c>
      <c r="C22" s="99">
        <f>'NSPS Computations'!G55</f>
        <v>0</v>
      </c>
      <c r="D22" s="99">
        <f>'NSPS Computations'!G90</f>
        <v>0</v>
      </c>
      <c r="E22" s="99">
        <f t="shared" si="0"/>
        <v>0</v>
      </c>
      <c r="F22" s="20">
        <f>'NSPS Computations'!I55</f>
        <v>0</v>
      </c>
      <c r="G22" s="20">
        <f>'NSPS Computations'!I90</f>
        <v>0</v>
      </c>
      <c r="H22" s="20">
        <f t="shared" si="1"/>
        <v>0</v>
      </c>
    </row>
    <row r="23" spans="1:8" ht="12.75">
      <c r="A23" s="4">
        <v>13</v>
      </c>
      <c r="B23" s="4" t="s">
        <v>5</v>
      </c>
      <c r="C23" s="99">
        <f>'NSPS Computations'!G56</f>
        <v>0</v>
      </c>
      <c r="D23" s="99">
        <f>'NSPS Computations'!G91</f>
        <v>0</v>
      </c>
      <c r="E23" s="99">
        <f t="shared" si="0"/>
        <v>0</v>
      </c>
      <c r="F23" s="20">
        <f>'NSPS Computations'!I56</f>
        <v>0</v>
      </c>
      <c r="G23" s="20">
        <f>'NSPS Computations'!I91</f>
        <v>0</v>
      </c>
      <c r="H23" s="20">
        <f t="shared" si="1"/>
        <v>0</v>
      </c>
    </row>
    <row r="24" spans="1:8" ht="12.75">
      <c r="A24" s="4">
        <v>14</v>
      </c>
      <c r="B24" s="4" t="s">
        <v>51</v>
      </c>
      <c r="C24" s="99">
        <f>'NSPS Computations'!G57</f>
        <v>0</v>
      </c>
      <c r="D24" s="99">
        <f>'NSPS Computations'!G92</f>
        <v>0</v>
      </c>
      <c r="E24" s="99">
        <f t="shared" si="0"/>
        <v>0</v>
      </c>
      <c r="F24" s="20">
        <f>'NSPS Computations'!I57</f>
        <v>0</v>
      </c>
      <c r="G24" s="20">
        <f>'NSPS Computations'!I92</f>
        <v>0</v>
      </c>
      <c r="H24" s="20">
        <f t="shared" si="1"/>
        <v>0</v>
      </c>
    </row>
    <row r="25" spans="1:8" ht="12.75">
      <c r="A25" s="4">
        <v>15</v>
      </c>
      <c r="B25" s="4" t="s">
        <v>50</v>
      </c>
      <c r="C25" s="99">
        <f>'NSPS Computations'!G58</f>
        <v>0</v>
      </c>
      <c r="D25" s="99">
        <f>'NSPS Computations'!G93</f>
        <v>0</v>
      </c>
      <c r="E25" s="99">
        <f t="shared" si="0"/>
        <v>0</v>
      </c>
      <c r="F25" s="20">
        <f>'NSPS Computations'!I58</f>
        <v>0</v>
      </c>
      <c r="G25" s="20">
        <f>'NSPS Computations'!I93</f>
        <v>0</v>
      </c>
      <c r="H25" s="20">
        <f t="shared" si="1"/>
        <v>0</v>
      </c>
    </row>
    <row r="27" spans="5:8" ht="12.75">
      <c r="E27" s="6" t="s">
        <v>59</v>
      </c>
      <c r="F27" s="41">
        <f>'NSPS Computations'!I67</f>
        <v>0</v>
      </c>
      <c r="G27" s="41">
        <f>'NSPS Computations'!I99</f>
        <v>0</v>
      </c>
      <c r="H27" s="41">
        <f>SUM(H11:H25)</f>
        <v>0</v>
      </c>
    </row>
    <row r="29" spans="7:8" ht="12.75">
      <c r="G29" s="6" t="s">
        <v>131</v>
      </c>
      <c r="H29" s="41">
        <f>'NSPS Computations'!I114+'NSPS Computations'!I121+'NSPS Computations'!I130+'NSPS Computations'!I140+'NSPS Computations'!I156+'NSPS Computations'!I148</f>
        <v>0</v>
      </c>
    </row>
    <row r="31" spans="7:8" ht="12.75">
      <c r="G31" s="6" t="s">
        <v>63</v>
      </c>
      <c r="H31" s="41">
        <f>H27+H29</f>
        <v>0</v>
      </c>
    </row>
    <row r="33" spans="7:8" ht="12.75">
      <c r="G33" s="6" t="s">
        <v>112</v>
      </c>
      <c r="H33" s="62">
        <f>IF('NSPS Computations'!I167="",0,-'NSPS Computations'!I67*(1-'NSPS Computations'!I167))</f>
        <v>0</v>
      </c>
    </row>
  </sheetData>
  <sheetProtection password="E902" sheet="1" objects="1" scenarios="1"/>
  <mergeCells count="2">
    <mergeCell ref="C8:D8"/>
    <mergeCell ref="B6:H6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1"/>
  <sheetViews>
    <sheetView zoomScaleSheetLayoutView="100" zoomScalePageLayoutView="0" workbookViewId="0" topLeftCell="A13">
      <selection activeCell="C17" sqref="C17"/>
    </sheetView>
  </sheetViews>
  <sheetFormatPr defaultColWidth="9.140625" defaultRowHeight="12.75"/>
  <cols>
    <col min="7" max="7" width="9.421875" style="0" bestFit="1" customWidth="1"/>
    <col min="8" max="8" width="9.421875" style="0" customWidth="1"/>
  </cols>
  <sheetData>
    <row r="1" ht="15">
      <c r="A1" s="36" t="s">
        <v>144</v>
      </c>
    </row>
    <row r="3" spans="1:8" ht="15">
      <c r="A3" s="36" t="s">
        <v>79</v>
      </c>
      <c r="F3" s="132">
        <f>'NSPS Computations'!B3</f>
        <v>38748</v>
      </c>
      <c r="G3" s="133"/>
      <c r="H3" s="133"/>
    </row>
    <row r="6" ht="12.75">
      <c r="B6" s="1" t="s">
        <v>52</v>
      </c>
    </row>
    <row r="8" spans="2:5" ht="12.75">
      <c r="B8" s="134" t="s">
        <v>76</v>
      </c>
      <c r="C8" s="117"/>
      <c r="D8" s="78">
        <f>IF('NSPS Computations'!E24="","",'NSPS Computations'!E24)</f>
        <v>9.1</v>
      </c>
      <c r="E8" s="9" t="s">
        <v>31</v>
      </c>
    </row>
    <row r="9" spans="2:5" ht="12.75">
      <c r="B9" s="19"/>
      <c r="C9" s="13"/>
      <c r="D9" s="43"/>
      <c r="E9" s="4"/>
    </row>
    <row r="10" spans="2:8" ht="16.5">
      <c r="B10" s="15" t="s">
        <v>39</v>
      </c>
      <c r="C10" s="15" t="s">
        <v>33</v>
      </c>
      <c r="D10" s="15" t="s">
        <v>34</v>
      </c>
      <c r="E10" s="15" t="s">
        <v>35</v>
      </c>
      <c r="F10" s="15" t="s">
        <v>36</v>
      </c>
      <c r="G10" s="15" t="s">
        <v>37</v>
      </c>
      <c r="H10" s="15" t="s">
        <v>38</v>
      </c>
    </row>
    <row r="11" spans="2:8" ht="12.75">
      <c r="B11" s="4"/>
      <c r="C11" s="4"/>
      <c r="D11" s="4"/>
      <c r="E11" s="4"/>
      <c r="F11" s="4"/>
      <c r="G11" s="4"/>
      <c r="H11" s="4"/>
    </row>
    <row r="12" spans="2:8" ht="12.75">
      <c r="B12" s="4" t="s">
        <v>40</v>
      </c>
      <c r="C12" s="52">
        <v>0.6</v>
      </c>
      <c r="D12" s="52">
        <v>0.75</v>
      </c>
      <c r="E12" s="52">
        <v>0.8</v>
      </c>
      <c r="F12" s="52">
        <v>0.84</v>
      </c>
      <c r="G12" s="52">
        <v>0.89</v>
      </c>
      <c r="H12" s="52">
        <v>0.95</v>
      </c>
    </row>
    <row r="13" spans="2:8" ht="12.75">
      <c r="B13" s="18" t="s">
        <v>42</v>
      </c>
      <c r="C13" s="52">
        <v>0.69</v>
      </c>
      <c r="D13" s="52">
        <v>0.84</v>
      </c>
      <c r="E13" s="52">
        <v>0.89</v>
      </c>
      <c r="F13" s="52">
        <v>0.93</v>
      </c>
      <c r="G13" s="52">
        <v>0.98</v>
      </c>
      <c r="H13" s="52">
        <v>1.04</v>
      </c>
    </row>
    <row r="14" spans="2:8" ht="12.75">
      <c r="B14" s="4" t="s">
        <v>41</v>
      </c>
      <c r="C14" s="52">
        <v>0.8</v>
      </c>
      <c r="D14" s="52">
        <v>0.95</v>
      </c>
      <c r="E14" s="52">
        <v>1</v>
      </c>
      <c r="F14" s="52">
        <v>1.04</v>
      </c>
      <c r="G14" s="52">
        <v>1.09</v>
      </c>
      <c r="H14" s="52">
        <v>1.15</v>
      </c>
    </row>
    <row r="16" spans="3:9" ht="16.5">
      <c r="C16" s="15" t="s">
        <v>33</v>
      </c>
      <c r="D16" s="51" t="s">
        <v>34</v>
      </c>
      <c r="E16" s="51" t="s">
        <v>35</v>
      </c>
      <c r="F16" s="51" t="s">
        <v>36</v>
      </c>
      <c r="G16" s="51" t="s">
        <v>37</v>
      </c>
      <c r="H16" s="51" t="s">
        <v>38</v>
      </c>
      <c r="I16" s="51" t="s">
        <v>78</v>
      </c>
    </row>
    <row r="17" spans="2:9" ht="12.75">
      <c r="B17" s="12" t="s">
        <v>125</v>
      </c>
      <c r="C17" s="43">
        <f>'NSPS Computations'!C30*'NSPS Computations'!E24</f>
        <v>0</v>
      </c>
      <c r="D17" s="43">
        <f>'NSPS Computations'!D30*'NSPS Computations'!E24</f>
        <v>0</v>
      </c>
      <c r="E17" s="43">
        <f>'NSPS Computations'!E30*'NSPS Computations'!E24</f>
        <v>0</v>
      </c>
      <c r="F17" s="43">
        <f>'NSPS Computations'!F30*'NSPS Computations'!E24</f>
        <v>0</v>
      </c>
      <c r="G17" s="43">
        <f>'NSPS Computations'!G30*'NSPS Computations'!E24</f>
        <v>0</v>
      </c>
      <c r="H17" s="43">
        <f>'NSPS Computations'!H30*'NSPS Computations'!E24</f>
        <v>0</v>
      </c>
      <c r="I17" s="78">
        <f>SUM(C17:H17)</f>
        <v>0</v>
      </c>
    </row>
    <row r="18" spans="2:9" ht="12.75">
      <c r="B18" s="4" t="s">
        <v>26</v>
      </c>
      <c r="C18" s="4">
        <f>IF(C17&lt;2,(C17/2)*0.09+0.6,IF(C17&lt;10,(C17-2)/8*0.11+0.69,0.8))</f>
        <v>0.6</v>
      </c>
      <c r="D18" s="4">
        <f>IF(D17&lt;2,(D17/2)*0.09+0.75,IF(D17&lt;10,(D17-2)/8*0.11+0.84,0.95))</f>
        <v>0.75</v>
      </c>
      <c r="E18" s="4">
        <f>IF(E17&lt;2,(E17/2)*0.09+0.8,IF(E17&lt;10,(E17-2)/8*0.11+0.89,1))</f>
        <v>0.8</v>
      </c>
      <c r="F18" s="4">
        <f>IF(F17&lt;2,(F17/2)*0.09+0.84,IF(F17&lt;10,(F17-2)/8*0.11+0.93,1.04))</f>
        <v>0.84</v>
      </c>
      <c r="G18" s="4">
        <f>IF(G17&lt;2,(G17/2)*0.09+0.89,IF(G17&lt;10,(G17-2)/8*0.11+0.98,1.09))</f>
        <v>0.89</v>
      </c>
      <c r="H18" s="4">
        <f>IF(H17&lt;2,(H17/2)*0.09+0.95,IF(H17&lt;10,(H17-2)/8*0.11+1.04,1.15))</f>
        <v>0.95</v>
      </c>
      <c r="I18" s="79">
        <f>IF('NSPS Computations'!E24=0,0,(C17*C18/'NSPS Computations'!E24)+(D17*D18/'NSPS Computations'!E24)+(E17*E18/'NSPS Computations'!E24)+(F17*F18/'NSPS Computations'!E24)+(G17*G18/'NSPS Computations'!E24)+(H17*H18/'NSPS Computations'!E24))</f>
        <v>0</v>
      </c>
    </row>
    <row r="21" spans="6:14" ht="12.75">
      <c r="F21" s="135" t="s">
        <v>80</v>
      </c>
      <c r="G21" s="135"/>
      <c r="H21" s="135"/>
      <c r="I21" s="135"/>
      <c r="K21" s="135"/>
      <c r="L21" s="135"/>
      <c r="M21" s="135"/>
      <c r="N21" s="135"/>
    </row>
    <row r="22" spans="2:14" ht="12.75">
      <c r="B22" s="1" t="s">
        <v>14</v>
      </c>
      <c r="F22" s="9" t="s">
        <v>21</v>
      </c>
      <c r="G22" s="9" t="s">
        <v>22</v>
      </c>
      <c r="H22" s="9" t="s">
        <v>23</v>
      </c>
      <c r="I22" s="9" t="s">
        <v>24</v>
      </c>
      <c r="K22" s="9"/>
      <c r="L22" s="9"/>
      <c r="M22" s="9"/>
      <c r="N22" s="9"/>
    </row>
    <row r="23" ht="12.75">
      <c r="B23" s="1"/>
    </row>
    <row r="24" spans="1:14" ht="12.75">
      <c r="A24" s="4"/>
      <c r="B24" s="13" t="s">
        <v>132</v>
      </c>
      <c r="F24" s="28">
        <v>900</v>
      </c>
      <c r="G24" s="28">
        <v>600</v>
      </c>
      <c r="H24" s="28">
        <v>410</v>
      </c>
      <c r="I24" s="28">
        <v>330</v>
      </c>
      <c r="K24" s="28"/>
      <c r="L24" s="28"/>
      <c r="M24" s="28"/>
      <c r="N24" s="28"/>
    </row>
    <row r="25" spans="1:14" ht="12.75">
      <c r="A25" s="4"/>
      <c r="B25" s="7" t="s">
        <v>6</v>
      </c>
      <c r="F25" s="28">
        <v>500</v>
      </c>
      <c r="G25" s="28">
        <v>331</v>
      </c>
      <c r="H25" s="28">
        <v>230.45</v>
      </c>
      <c r="I25" s="28">
        <v>180.75</v>
      </c>
      <c r="K25" s="28"/>
      <c r="L25" s="28"/>
      <c r="M25" s="28"/>
      <c r="N25" s="77"/>
    </row>
    <row r="26" spans="1:14" ht="12.75">
      <c r="A26" s="4"/>
      <c r="B26" s="7" t="s">
        <v>9</v>
      </c>
      <c r="F26" s="28">
        <v>550</v>
      </c>
      <c r="G26" s="28">
        <v>364.1</v>
      </c>
      <c r="H26" s="28">
        <v>253.495</v>
      </c>
      <c r="I26" s="28">
        <v>198.825</v>
      </c>
      <c r="K26" s="28"/>
      <c r="L26" s="28"/>
      <c r="M26" s="28"/>
      <c r="N26" s="28"/>
    </row>
    <row r="27" spans="1:14" ht="12.75">
      <c r="A27" s="4"/>
      <c r="B27" s="7" t="s">
        <v>8</v>
      </c>
      <c r="F27" s="28">
        <v>650</v>
      </c>
      <c r="G27" s="28">
        <v>430.3</v>
      </c>
      <c r="H27" s="28">
        <v>299.585</v>
      </c>
      <c r="I27" s="28">
        <v>234.975</v>
      </c>
      <c r="K27" s="28"/>
      <c r="L27" s="28"/>
      <c r="M27" s="28"/>
      <c r="N27" s="28"/>
    </row>
    <row r="28" spans="1:14" ht="12.75">
      <c r="A28" s="4"/>
      <c r="B28" s="7" t="s">
        <v>10</v>
      </c>
      <c r="F28" s="28">
        <v>400</v>
      </c>
      <c r="G28" s="28">
        <v>264.8</v>
      </c>
      <c r="H28" s="28">
        <v>184.36</v>
      </c>
      <c r="I28" s="28">
        <v>144.6</v>
      </c>
      <c r="K28" s="28"/>
      <c r="L28" s="28"/>
      <c r="M28" s="28"/>
      <c r="N28" s="28"/>
    </row>
    <row r="29" spans="1:14" ht="12.75">
      <c r="A29" s="4"/>
      <c r="B29" s="7" t="s">
        <v>11</v>
      </c>
      <c r="F29" s="28">
        <v>450</v>
      </c>
      <c r="G29" s="28">
        <v>297.9</v>
      </c>
      <c r="H29" s="28">
        <v>207.405</v>
      </c>
      <c r="I29" s="28">
        <v>162.675</v>
      </c>
      <c r="K29" s="28"/>
      <c r="L29" s="28"/>
      <c r="M29" s="28"/>
      <c r="N29" s="28"/>
    </row>
    <row r="30" spans="1:14" ht="12.75">
      <c r="A30" s="4"/>
      <c r="B30" s="7" t="s">
        <v>27</v>
      </c>
      <c r="F30" s="28">
        <v>700</v>
      </c>
      <c r="G30" s="28">
        <v>463.4</v>
      </c>
      <c r="H30" s="28">
        <v>322.63</v>
      </c>
      <c r="I30" s="28">
        <v>253.05</v>
      </c>
      <c r="K30" s="28"/>
      <c r="L30" s="28"/>
      <c r="M30" s="28"/>
      <c r="N30" s="28"/>
    </row>
    <row r="31" spans="1:14" ht="12.75">
      <c r="A31" s="4"/>
      <c r="B31" s="7" t="s">
        <v>28</v>
      </c>
      <c r="F31" s="28">
        <v>650</v>
      </c>
      <c r="G31" s="28">
        <v>430.3</v>
      </c>
      <c r="H31" s="28">
        <v>299.585</v>
      </c>
      <c r="I31" s="28">
        <v>234.975</v>
      </c>
      <c r="K31" s="28"/>
      <c r="L31" s="28"/>
      <c r="M31" s="28"/>
      <c r="N31" s="28"/>
    </row>
    <row r="32" spans="1:14" ht="12.75">
      <c r="A32" s="4"/>
      <c r="B32" s="7" t="s">
        <v>25</v>
      </c>
      <c r="F32" s="28">
        <v>600</v>
      </c>
      <c r="G32" s="28">
        <v>397.2</v>
      </c>
      <c r="H32" s="28">
        <v>276.54</v>
      </c>
      <c r="I32" s="28">
        <v>216.9</v>
      </c>
      <c r="K32" s="28"/>
      <c r="L32" s="28"/>
      <c r="M32" s="28"/>
      <c r="N32" s="28"/>
    </row>
    <row r="33" spans="1:14" ht="12.75">
      <c r="A33" s="4"/>
      <c r="B33" s="7" t="s">
        <v>67</v>
      </c>
      <c r="F33" s="28">
        <v>700</v>
      </c>
      <c r="G33" s="28">
        <v>463.4</v>
      </c>
      <c r="H33" s="28">
        <v>322.63</v>
      </c>
      <c r="I33" s="28">
        <v>253.05</v>
      </c>
      <c r="K33" s="28"/>
      <c r="L33" s="28"/>
      <c r="M33" s="28"/>
      <c r="N33" s="28"/>
    </row>
    <row r="34" spans="1:14" ht="12.75">
      <c r="A34" s="4"/>
      <c r="B34" s="7" t="s">
        <v>7</v>
      </c>
      <c r="F34" s="28">
        <v>300</v>
      </c>
      <c r="G34" s="28">
        <v>198.6</v>
      </c>
      <c r="H34" s="28">
        <v>138.27</v>
      </c>
      <c r="I34" s="28">
        <v>108.45</v>
      </c>
      <c r="K34" s="28"/>
      <c r="L34" s="28"/>
      <c r="M34" s="28"/>
      <c r="N34" s="28"/>
    </row>
    <row r="35" spans="1:14" ht="12.75">
      <c r="A35" s="4"/>
      <c r="B35" s="7" t="s">
        <v>12</v>
      </c>
      <c r="F35" s="28">
        <v>500</v>
      </c>
      <c r="G35" s="28">
        <v>331</v>
      </c>
      <c r="H35" s="28">
        <v>230.45</v>
      </c>
      <c r="I35" s="28">
        <v>180.75</v>
      </c>
      <c r="K35" s="28"/>
      <c r="L35" s="28"/>
      <c r="M35" s="28"/>
      <c r="N35" s="28"/>
    </row>
    <row r="36" spans="1:14" ht="12.75">
      <c r="A36" s="4"/>
      <c r="B36" s="7" t="s">
        <v>5</v>
      </c>
      <c r="F36" s="28">
        <v>0</v>
      </c>
      <c r="G36" s="28">
        <v>0</v>
      </c>
      <c r="H36" s="28">
        <v>0</v>
      </c>
      <c r="I36" s="28">
        <v>0</v>
      </c>
      <c r="K36" s="28"/>
      <c r="L36" s="28"/>
      <c r="M36" s="28"/>
      <c r="N36" s="28"/>
    </row>
    <row r="37" spans="1:14" ht="12.75">
      <c r="A37" s="4"/>
      <c r="B37" s="7" t="s">
        <v>104</v>
      </c>
      <c r="F37" s="28">
        <v>150</v>
      </c>
      <c r="G37" s="28">
        <v>99.3</v>
      </c>
      <c r="H37" s="28">
        <v>69.135</v>
      </c>
      <c r="I37" s="28">
        <v>54.225</v>
      </c>
      <c r="K37" s="28"/>
      <c r="L37" s="28"/>
      <c r="M37" s="28"/>
      <c r="N37" s="28"/>
    </row>
    <row r="38" spans="1:14" ht="12.75">
      <c r="A38" s="4"/>
      <c r="B38" s="7" t="s">
        <v>105</v>
      </c>
      <c r="F38" s="28">
        <v>400</v>
      </c>
      <c r="G38" s="28">
        <v>264.8</v>
      </c>
      <c r="H38" s="28">
        <v>184.36</v>
      </c>
      <c r="I38" s="28">
        <v>144.6</v>
      </c>
      <c r="K38" s="28"/>
      <c r="L38" s="28"/>
      <c r="M38" s="28"/>
      <c r="N38" s="28"/>
    </row>
    <row r="42" ht="12.75">
      <c r="B42" s="1" t="s">
        <v>102</v>
      </c>
    </row>
    <row r="43" ht="12.75">
      <c r="B43" s="1" t="s">
        <v>103</v>
      </c>
    </row>
    <row r="45" spans="2:3" ht="12.75">
      <c r="B45" s="49" t="s">
        <v>26</v>
      </c>
      <c r="C45" s="79">
        <f>1*'NSPS Computations'!C61+0.662*'NSPS Computations'!D61+0.4609*'NSPS Computations'!E61+0.3615*'NSPS Computations'!F61</f>
        <v>0</v>
      </c>
    </row>
    <row r="48" ht="12.75">
      <c r="B48" s="1" t="s">
        <v>106</v>
      </c>
    </row>
    <row r="49" ht="12.75">
      <c r="B49" s="1" t="s">
        <v>107</v>
      </c>
    </row>
    <row r="51" spans="2:3" ht="12.75">
      <c r="B51" s="96" t="s">
        <v>26</v>
      </c>
      <c r="C51" s="79">
        <f>1*'NSPS Computations'!C96+0.662*'NSPS Computations'!D96+0.4609*'NSPS Computations'!E96+0.3615*'NSPS Computations'!F96</f>
        <v>0</v>
      </c>
    </row>
    <row r="54" ht="12.75">
      <c r="B54" s="1" t="s">
        <v>164</v>
      </c>
    </row>
    <row r="56" ht="12.75">
      <c r="B56" s="4" t="s">
        <v>19</v>
      </c>
    </row>
    <row r="57" ht="12.75">
      <c r="B57" s="4" t="s">
        <v>20</v>
      </c>
    </row>
    <row r="60" ht="12.75">
      <c r="B60" s="1" t="s">
        <v>166</v>
      </c>
    </row>
    <row r="62" spans="2:3" ht="12.75">
      <c r="B62" s="4" t="s">
        <v>20</v>
      </c>
      <c r="C62" s="79">
        <v>0</v>
      </c>
    </row>
    <row r="63" spans="2:3" ht="12.75">
      <c r="B63" s="4" t="s">
        <v>19</v>
      </c>
      <c r="C63" s="79">
        <f>50*C51</f>
        <v>0</v>
      </c>
    </row>
    <row r="66" ht="12.75">
      <c r="B66" s="1" t="s">
        <v>165</v>
      </c>
    </row>
    <row r="68" spans="2:3" ht="12.75">
      <c r="B68" s="4" t="s">
        <v>20</v>
      </c>
      <c r="C68" s="79">
        <v>0</v>
      </c>
    </row>
    <row r="69" spans="2:3" ht="12.75">
      <c r="B69" s="4" t="s">
        <v>19</v>
      </c>
      <c r="C69" s="79">
        <f>'NSPS Computations'!I67*I18/3</f>
        <v>0</v>
      </c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91" spans="2:6" ht="12.75">
      <c r="B91" s="65"/>
      <c r="C91" s="65"/>
      <c r="D91" s="66"/>
      <c r="E91" s="53"/>
      <c r="F91" s="53"/>
    </row>
  </sheetData>
  <sheetProtection password="E902" sheet="1" objects="1" scenarios="1"/>
  <mergeCells count="4">
    <mergeCell ref="F3:H3"/>
    <mergeCell ref="B8:C8"/>
    <mergeCell ref="F21:I21"/>
    <mergeCell ref="K21:N21"/>
  </mergeCells>
  <dataValidations count="1">
    <dataValidation allowBlank="1" showInputMessage="1" showErrorMessage="1" errorTitle="Invalid Response" error="Please Select from Drop-Down Menu" sqref="E91:F91"/>
  </dataValidations>
  <printOptions/>
  <pageMargins left="0.75" right="0.75" top="0.62" bottom="0.6" header="0.5" footer="0.5"/>
  <pageSetup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8" width="10.7109375" style="0" customWidth="1"/>
  </cols>
  <sheetData>
    <row r="1" ht="15">
      <c r="A1" s="36" t="s">
        <v>144</v>
      </c>
    </row>
    <row r="3" spans="1:7" ht="15">
      <c r="A3" s="36" t="s">
        <v>81</v>
      </c>
      <c r="F3" s="132">
        <f>'NSPS Computations'!B3</f>
        <v>38748</v>
      </c>
      <c r="G3" s="136"/>
    </row>
    <row r="5" spans="2:9" ht="12.75">
      <c r="B5" s="9"/>
      <c r="C5" s="9"/>
      <c r="D5" s="9"/>
      <c r="E5" s="9"/>
      <c r="F5" s="9"/>
      <c r="G5" s="9"/>
      <c r="H5" s="9"/>
      <c r="I5" s="9"/>
    </row>
    <row r="6" spans="1:9" ht="16.5">
      <c r="A6" s="15" t="s">
        <v>108</v>
      </c>
      <c r="B6" s="15" t="s">
        <v>33</v>
      </c>
      <c r="C6" s="51" t="s">
        <v>34</v>
      </c>
      <c r="D6" s="51" t="s">
        <v>35</v>
      </c>
      <c r="E6" s="51" t="s">
        <v>36</v>
      </c>
      <c r="F6" s="51" t="s">
        <v>37</v>
      </c>
      <c r="G6" s="51" t="s">
        <v>38</v>
      </c>
      <c r="I6" s="4"/>
    </row>
    <row r="7" spans="1:9" ht="12.75">
      <c r="A7" s="4"/>
      <c r="I7" s="31"/>
    </row>
    <row r="8" spans="1:9" ht="12.75">
      <c r="A8" s="4" t="s">
        <v>40</v>
      </c>
      <c r="B8" s="71">
        <v>0.6</v>
      </c>
      <c r="C8" s="71">
        <v>0.75</v>
      </c>
      <c r="D8" s="71">
        <v>0.8</v>
      </c>
      <c r="E8" s="71">
        <v>0.84</v>
      </c>
      <c r="F8" s="71">
        <v>0.89</v>
      </c>
      <c r="G8" s="71">
        <v>0.95</v>
      </c>
      <c r="I8" s="31"/>
    </row>
    <row r="9" spans="1:9" ht="12.75">
      <c r="A9" s="18" t="s">
        <v>42</v>
      </c>
      <c r="B9" s="71">
        <v>0.69</v>
      </c>
      <c r="C9" s="71">
        <v>0.84</v>
      </c>
      <c r="D9" s="71">
        <v>0.89</v>
      </c>
      <c r="E9" s="71">
        <v>0.93</v>
      </c>
      <c r="F9" s="71">
        <v>0.98</v>
      </c>
      <c r="G9" s="71">
        <v>1.04</v>
      </c>
      <c r="I9" s="31"/>
    </row>
    <row r="10" spans="1:7" ht="12.75">
      <c r="A10" s="4" t="s">
        <v>41</v>
      </c>
      <c r="B10" s="71">
        <v>0.8</v>
      </c>
      <c r="C10" s="71">
        <v>0.95</v>
      </c>
      <c r="D10" s="71">
        <v>1</v>
      </c>
      <c r="E10" s="71">
        <v>1.04</v>
      </c>
      <c r="F10" s="71">
        <v>1.09</v>
      </c>
      <c r="G10" s="71">
        <v>1.15</v>
      </c>
    </row>
    <row r="12" ht="12.75">
      <c r="I12" s="33"/>
    </row>
    <row r="14" spans="4:9" ht="12.75">
      <c r="D14" s="33"/>
      <c r="E14" s="33"/>
      <c r="F14" s="33"/>
      <c r="G14" s="33"/>
      <c r="H14" s="33"/>
      <c r="I14" s="33"/>
    </row>
    <row r="16" spans="4:15" ht="12.75">
      <c r="D16" s="34"/>
      <c r="E16" s="34"/>
      <c r="F16" s="1"/>
      <c r="G16" s="34"/>
      <c r="H16" s="34"/>
      <c r="I16" s="34"/>
      <c r="K16" s="1"/>
      <c r="L16" s="1"/>
      <c r="M16" s="1"/>
      <c r="N16" s="1"/>
      <c r="O16" s="1"/>
    </row>
    <row r="17" spans="11:15" ht="12.75">
      <c r="K17" s="1"/>
      <c r="L17" s="1"/>
      <c r="M17" s="1"/>
      <c r="N17" s="1"/>
      <c r="O17" s="1"/>
    </row>
    <row r="18" spans="4:9" ht="12.75">
      <c r="D18" s="33"/>
      <c r="E18" s="33"/>
      <c r="F18" s="33"/>
      <c r="G18" s="33"/>
      <c r="H18" s="33"/>
      <c r="I18" s="33"/>
    </row>
    <row r="19" spans="4:9" ht="12.75">
      <c r="D19" s="33"/>
      <c r="E19" s="33"/>
      <c r="F19" s="33"/>
      <c r="G19" s="33"/>
      <c r="H19" s="33"/>
      <c r="I19" s="33"/>
    </row>
    <row r="20" spans="4:9" ht="12.75">
      <c r="D20" s="33"/>
      <c r="E20" s="33"/>
      <c r="G20" s="33"/>
      <c r="H20" s="33"/>
      <c r="I20" s="33"/>
    </row>
    <row r="23" spans="4:9" ht="12.75">
      <c r="D23" s="33"/>
      <c r="E23" s="33"/>
      <c r="F23" s="33"/>
      <c r="G23" s="33"/>
      <c r="H23" s="33"/>
      <c r="I23" s="33"/>
    </row>
    <row r="25" spans="4:9" ht="12.75">
      <c r="D25" s="33"/>
      <c r="E25" s="33"/>
      <c r="F25" s="33"/>
      <c r="G25" s="33"/>
      <c r="H25" s="33"/>
      <c r="I25" s="33"/>
    </row>
    <row r="64" spans="4:8" ht="12.75">
      <c r="D64" s="52"/>
      <c r="E64" s="52"/>
      <c r="F64" s="52"/>
      <c r="G64" s="52"/>
      <c r="H64" s="52"/>
    </row>
    <row r="65" spans="4:8" ht="12.75">
      <c r="D65" s="52"/>
      <c r="E65" s="52"/>
      <c r="F65" s="52"/>
      <c r="G65" s="52"/>
      <c r="H65" s="52"/>
    </row>
    <row r="66" spans="4:9" ht="12.75">
      <c r="D66" s="52"/>
      <c r="E66" s="49"/>
      <c r="F66" s="52"/>
      <c r="G66" s="52"/>
      <c r="H66" s="52"/>
      <c r="I66" s="52"/>
    </row>
    <row r="121" spans="2:16" ht="16.5">
      <c r="B121" s="15"/>
      <c r="C121" s="15"/>
      <c r="D121" s="51"/>
      <c r="E121" s="51"/>
      <c r="F121" s="51"/>
      <c r="G121" s="51"/>
      <c r="H121" s="51"/>
      <c r="K121" s="15"/>
      <c r="L121" s="51"/>
      <c r="M121" s="51"/>
      <c r="N121" s="51"/>
      <c r="O121" s="51"/>
      <c r="P121" s="51"/>
    </row>
    <row r="122" spans="2:16" ht="12.75">
      <c r="B122" s="4"/>
      <c r="J122" s="44"/>
      <c r="K122" s="4"/>
      <c r="L122" s="4"/>
      <c r="M122" s="4"/>
      <c r="N122" s="4"/>
      <c r="O122" s="4"/>
      <c r="P122" s="4"/>
    </row>
    <row r="123" spans="1:16" ht="12.75">
      <c r="A123" s="4"/>
      <c r="B123" s="4"/>
      <c r="C123" s="52"/>
      <c r="D123" s="52"/>
      <c r="E123" s="52"/>
      <c r="F123" s="52"/>
      <c r="G123" s="52"/>
      <c r="H123" s="52"/>
      <c r="K123" s="4"/>
      <c r="L123" s="4"/>
      <c r="M123" s="4"/>
      <c r="N123" s="4"/>
      <c r="O123" s="4"/>
      <c r="P123" s="4"/>
    </row>
    <row r="124" spans="1:8" ht="12.75">
      <c r="A124" s="4"/>
      <c r="B124" s="18"/>
      <c r="C124" s="52"/>
      <c r="D124" s="52"/>
      <c r="E124" s="52"/>
      <c r="F124" s="52"/>
      <c r="G124" s="52"/>
      <c r="H124" s="52"/>
    </row>
    <row r="125" spans="1:8" ht="12.75">
      <c r="A125" s="4"/>
      <c r="B125" s="4"/>
      <c r="C125" s="52"/>
      <c r="D125" s="52"/>
      <c r="E125" s="49"/>
      <c r="F125" s="52"/>
      <c r="G125" s="52"/>
      <c r="H125" s="52"/>
    </row>
    <row r="168" spans="2:8" ht="12.75">
      <c r="B168" s="4"/>
      <c r="C168" s="52"/>
      <c r="D168" s="52"/>
      <c r="E168" s="52"/>
      <c r="F168" s="52"/>
      <c r="G168" s="52"/>
      <c r="H168" s="52"/>
    </row>
    <row r="169" spans="2:8" ht="12.75">
      <c r="B169" s="4"/>
      <c r="C169" s="52"/>
      <c r="D169" s="52"/>
      <c r="E169" s="52"/>
      <c r="F169" s="52"/>
      <c r="G169" s="52"/>
      <c r="H169" s="52"/>
    </row>
    <row r="170" ht="12.75">
      <c r="B170" s="4"/>
    </row>
    <row r="171" ht="12.75">
      <c r="B171" s="4"/>
    </row>
    <row r="172" ht="12.75">
      <c r="B172" s="4"/>
    </row>
    <row r="173" spans="2:8" ht="12.75">
      <c r="B173" s="4"/>
      <c r="C173" s="52"/>
      <c r="D173" s="52"/>
      <c r="E173" s="49"/>
      <c r="F173" s="52"/>
      <c r="G173" s="52"/>
      <c r="H173" s="52"/>
    </row>
  </sheetData>
  <sheetProtection password="E902" sheet="1" objects="1" scenarios="1"/>
  <mergeCells count="1">
    <mergeCell ref="F3:G3"/>
  </mergeCells>
  <printOptions/>
  <pageMargins left="0.75" right="0.75" top="1" bottom="1" header="0.5" footer="0.5"/>
  <pageSetup horizontalDpi="600" verticalDpi="600" orientation="portrait" scale="73" r:id="rId2"/>
  <rowBreaks count="3" manualBreakCount="3">
    <brk id="46" max="255" man="1"/>
    <brk id="63" max="255" man="1"/>
    <brk id="1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5" width="10.7109375" style="0" customWidth="1"/>
  </cols>
  <sheetData>
    <row r="1" ht="15">
      <c r="A1" s="36" t="s">
        <v>144</v>
      </c>
    </row>
    <row r="2" ht="12.75">
      <c r="A2" s="1"/>
    </row>
    <row r="3" spans="1:8" ht="15">
      <c r="A3" s="36" t="s">
        <v>139</v>
      </c>
      <c r="G3" s="132">
        <f>'NSPS Computations'!B3</f>
        <v>38748</v>
      </c>
      <c r="H3" s="138"/>
    </row>
    <row r="7" spans="1:9" ht="16.5">
      <c r="A7" s="137" t="s">
        <v>109</v>
      </c>
      <c r="B7" s="137"/>
      <c r="C7" s="7"/>
      <c r="D7" s="137" t="s">
        <v>110</v>
      </c>
      <c r="E7" s="137"/>
      <c r="F7" s="70"/>
      <c r="G7" s="137" t="s">
        <v>111</v>
      </c>
      <c r="H7" s="137"/>
      <c r="I7" s="10"/>
    </row>
    <row r="8" spans="1:9" ht="12.75">
      <c r="A8" s="1"/>
      <c r="D8" s="1"/>
      <c r="F8" s="10"/>
      <c r="G8" s="1"/>
      <c r="I8" s="10"/>
    </row>
    <row r="9" spans="1:17" ht="50.25">
      <c r="A9" s="2" t="s">
        <v>44</v>
      </c>
      <c r="B9" s="2" t="s">
        <v>55</v>
      </c>
      <c r="D9" s="2" t="s">
        <v>44</v>
      </c>
      <c r="E9" s="2" t="s">
        <v>55</v>
      </c>
      <c r="G9" s="2" t="s">
        <v>44</v>
      </c>
      <c r="H9" s="2" t="s">
        <v>55</v>
      </c>
      <c r="J9" s="2"/>
      <c r="K9" s="2"/>
      <c r="L9" s="48"/>
      <c r="P9" s="2"/>
      <c r="Q9" s="2"/>
    </row>
    <row r="10" spans="1:17" ht="12.75">
      <c r="A10" s="69">
        <v>0</v>
      </c>
      <c r="B10" s="69">
        <v>100</v>
      </c>
      <c r="D10" s="69">
        <v>0</v>
      </c>
      <c r="E10" s="69">
        <v>100</v>
      </c>
      <c r="G10" s="69">
        <v>0</v>
      </c>
      <c r="H10" s="69">
        <v>100</v>
      </c>
      <c r="J10" s="4"/>
      <c r="K10" s="30"/>
      <c r="L10" s="4"/>
      <c r="P10" s="4"/>
      <c r="Q10" s="30"/>
    </row>
    <row r="11" spans="1:17" ht="12.75">
      <c r="A11" s="69">
        <v>10</v>
      </c>
      <c r="B11" s="69">
        <v>90</v>
      </c>
      <c r="D11" s="69">
        <v>10</v>
      </c>
      <c r="E11" s="69">
        <v>91.5</v>
      </c>
      <c r="G11" s="69">
        <v>10</v>
      </c>
      <c r="H11" s="69">
        <v>95</v>
      </c>
      <c r="J11" s="4"/>
      <c r="K11" s="30"/>
      <c r="L11" s="4"/>
      <c r="P11" s="4"/>
      <c r="Q11" s="30"/>
    </row>
    <row r="12" spans="1:17" ht="12.75">
      <c r="A12" s="69">
        <v>20</v>
      </c>
      <c r="B12" s="69">
        <v>80</v>
      </c>
      <c r="D12" s="69">
        <v>20</v>
      </c>
      <c r="E12" s="69">
        <v>83</v>
      </c>
      <c r="G12" s="69">
        <v>20</v>
      </c>
      <c r="H12" s="69">
        <v>90</v>
      </c>
      <c r="J12" s="4"/>
      <c r="K12" s="30"/>
      <c r="L12" s="4"/>
      <c r="P12" s="4"/>
      <c r="Q12" s="30"/>
    </row>
    <row r="13" spans="1:17" ht="12.75">
      <c r="A13" s="69">
        <v>30</v>
      </c>
      <c r="B13" s="69">
        <v>70</v>
      </c>
      <c r="D13" s="69">
        <v>30</v>
      </c>
      <c r="E13" s="69">
        <v>74.5</v>
      </c>
      <c r="G13" s="69">
        <v>30</v>
      </c>
      <c r="H13" s="69">
        <v>85</v>
      </c>
      <c r="J13" s="4"/>
      <c r="K13" s="30"/>
      <c r="L13" s="4"/>
      <c r="P13" s="4"/>
      <c r="Q13" s="30"/>
    </row>
    <row r="14" spans="1:17" ht="12.75">
      <c r="A14" s="69">
        <v>40</v>
      </c>
      <c r="B14" s="69">
        <v>60</v>
      </c>
      <c r="D14" s="69">
        <v>40</v>
      </c>
      <c r="E14" s="69">
        <v>66</v>
      </c>
      <c r="G14" s="69">
        <v>40</v>
      </c>
      <c r="H14" s="69">
        <v>80</v>
      </c>
      <c r="J14" s="4"/>
      <c r="K14" s="30"/>
      <c r="L14" s="4"/>
      <c r="P14" s="4"/>
      <c r="Q14" s="30"/>
    </row>
    <row r="15" spans="1:17" ht="12.75">
      <c r="A15" s="69">
        <v>50</v>
      </c>
      <c r="B15" s="69">
        <v>50</v>
      </c>
      <c r="D15" s="69">
        <v>50</v>
      </c>
      <c r="E15" s="69">
        <v>57.5</v>
      </c>
      <c r="G15" s="69">
        <v>50</v>
      </c>
      <c r="H15" s="69">
        <v>75</v>
      </c>
      <c r="J15" s="4"/>
      <c r="K15" s="30"/>
      <c r="P15" s="4"/>
      <c r="Q15" s="30"/>
    </row>
    <row r="16" spans="1:17" ht="12.75">
      <c r="A16" s="69">
        <v>60</v>
      </c>
      <c r="B16" s="69">
        <v>40</v>
      </c>
      <c r="D16" s="69">
        <v>60</v>
      </c>
      <c r="E16" s="69">
        <v>49</v>
      </c>
      <c r="G16" s="69">
        <v>60</v>
      </c>
      <c r="H16" s="69">
        <v>70</v>
      </c>
      <c r="J16" s="4"/>
      <c r="K16" s="30"/>
      <c r="P16" s="4"/>
      <c r="Q16" s="30"/>
    </row>
    <row r="17" spans="1:17" ht="12.75">
      <c r="A17" s="69">
        <v>70</v>
      </c>
      <c r="B17" s="69">
        <v>30</v>
      </c>
      <c r="D17" s="69">
        <v>70</v>
      </c>
      <c r="E17" s="69">
        <v>40.5</v>
      </c>
      <c r="G17" s="69">
        <v>70</v>
      </c>
      <c r="H17" s="69">
        <v>65</v>
      </c>
      <c r="J17" s="4"/>
      <c r="K17" s="30"/>
      <c r="P17" s="4"/>
      <c r="Q17" s="30"/>
    </row>
    <row r="18" spans="1:17" ht="12.75">
      <c r="A18" s="69">
        <v>80</v>
      </c>
      <c r="B18" s="69">
        <v>20</v>
      </c>
      <c r="D18" s="69">
        <v>80</v>
      </c>
      <c r="E18" s="69">
        <v>32</v>
      </c>
      <c r="G18" s="69">
        <v>80</v>
      </c>
      <c r="H18" s="69">
        <v>60</v>
      </c>
      <c r="J18" s="4"/>
      <c r="K18" s="30"/>
      <c r="P18" s="4"/>
      <c r="Q18" s="30"/>
    </row>
    <row r="19" spans="1:17" ht="12.75">
      <c r="A19" s="69">
        <v>90</v>
      </c>
      <c r="B19" s="69">
        <v>10</v>
      </c>
      <c r="D19" s="69">
        <v>90</v>
      </c>
      <c r="E19" s="69">
        <v>23.5</v>
      </c>
      <c r="G19" s="69">
        <v>90</v>
      </c>
      <c r="H19" s="69">
        <v>55</v>
      </c>
      <c r="J19" s="4"/>
      <c r="K19" s="30"/>
      <c r="P19" s="4"/>
      <c r="Q19" s="30"/>
    </row>
    <row r="20" spans="1:17" ht="12.75">
      <c r="A20" s="69">
        <v>100</v>
      </c>
      <c r="B20" s="69">
        <v>0</v>
      </c>
      <c r="D20" s="69">
        <v>100</v>
      </c>
      <c r="E20" s="69">
        <v>15</v>
      </c>
      <c r="G20" s="69">
        <v>100</v>
      </c>
      <c r="H20" s="69">
        <v>50</v>
      </c>
      <c r="J20" s="4"/>
      <c r="K20" s="30"/>
      <c r="P20" s="4"/>
      <c r="Q20" s="30"/>
    </row>
    <row r="21" spans="9:15" ht="12.75">
      <c r="I21" s="4"/>
      <c r="J21" s="30"/>
      <c r="K21" s="4"/>
      <c r="M21" s="4"/>
      <c r="N21" s="30"/>
      <c r="O21" s="4"/>
    </row>
    <row r="22" spans="13:15" ht="12.75">
      <c r="M22" s="4"/>
      <c r="N22" s="30"/>
      <c r="O22" s="4"/>
    </row>
    <row r="23" spans="13:15" ht="12.75">
      <c r="M23" s="4"/>
      <c r="N23" s="30"/>
      <c r="O23" s="4"/>
    </row>
    <row r="24" spans="13:15" ht="12.75">
      <c r="M24" s="4"/>
      <c r="N24" s="30"/>
      <c r="O24" s="4"/>
    </row>
    <row r="25" spans="9:18" ht="12.75">
      <c r="I25" s="4"/>
      <c r="J25" s="30"/>
      <c r="R25" s="30"/>
    </row>
    <row r="26" ht="12.75">
      <c r="R26" s="30"/>
    </row>
    <row r="27" ht="12.75">
      <c r="R27" s="30"/>
    </row>
    <row r="28" ht="12.75">
      <c r="R28" s="30"/>
    </row>
    <row r="29" ht="12.75">
      <c r="R29" s="30"/>
    </row>
    <row r="30" ht="12.75">
      <c r="R30" s="30"/>
    </row>
    <row r="31" ht="12.75">
      <c r="R31" s="30"/>
    </row>
    <row r="32" ht="12.75">
      <c r="R32" s="30"/>
    </row>
    <row r="33" ht="12.75">
      <c r="R33" s="30"/>
    </row>
    <row r="34" ht="12.75">
      <c r="R34" s="30"/>
    </row>
    <row r="35" ht="12.75">
      <c r="R35" s="30"/>
    </row>
  </sheetData>
  <sheetProtection password="E902" sheet="1" objects="1" scenarios="1"/>
  <mergeCells count="4">
    <mergeCell ref="A7:B7"/>
    <mergeCell ref="D7:E7"/>
    <mergeCell ref="G7:H7"/>
    <mergeCell ref="G3:H3"/>
  </mergeCells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K16" sqref="K16"/>
    </sheetView>
  </sheetViews>
  <sheetFormatPr defaultColWidth="9.140625" defaultRowHeight="12.75"/>
  <cols>
    <col min="1" max="9" width="12.7109375" style="0" customWidth="1"/>
  </cols>
  <sheetData>
    <row r="1" ht="15">
      <c r="A1" s="36" t="s">
        <v>144</v>
      </c>
    </row>
    <row r="2" ht="12.75">
      <c r="A2" s="1"/>
    </row>
    <row r="3" spans="1:6" ht="15">
      <c r="A3" s="36" t="s">
        <v>82</v>
      </c>
      <c r="E3" s="132">
        <f>'NSPS Computations'!B3</f>
        <v>38748</v>
      </c>
      <c r="F3" s="138"/>
    </row>
    <row r="6" spans="1:4" ht="16.5">
      <c r="A6" s="2"/>
      <c r="B6" s="2"/>
      <c r="C6" s="2"/>
      <c r="D6" s="2"/>
    </row>
    <row r="7" spans="1:12" ht="33">
      <c r="A7" s="2" t="s">
        <v>44</v>
      </c>
      <c r="B7" s="47" t="s">
        <v>1</v>
      </c>
      <c r="C7" s="2" t="s">
        <v>54</v>
      </c>
      <c r="D7" s="2" t="s">
        <v>2</v>
      </c>
      <c r="E7" s="2" t="s">
        <v>54</v>
      </c>
      <c r="F7" s="2" t="s">
        <v>3</v>
      </c>
      <c r="G7" s="2" t="s">
        <v>54</v>
      </c>
      <c r="H7" s="2" t="s">
        <v>4</v>
      </c>
      <c r="I7" s="2" t="s">
        <v>54</v>
      </c>
      <c r="L7" s="2"/>
    </row>
    <row r="8" spans="1:6" ht="12.75">
      <c r="A8" s="4"/>
      <c r="B8" s="30"/>
      <c r="D8" s="4"/>
      <c r="F8" s="4"/>
    </row>
    <row r="9" spans="1:9" ht="12.75">
      <c r="A9" s="4">
        <v>0</v>
      </c>
      <c r="B9" s="11">
        <v>100</v>
      </c>
      <c r="C9" s="69">
        <v>100</v>
      </c>
      <c r="D9" s="11">
        <v>66</v>
      </c>
      <c r="E9" s="30">
        <f>D9/$D$9</f>
        <v>1</v>
      </c>
      <c r="F9" s="11">
        <v>46</v>
      </c>
      <c r="G9" s="30">
        <f>F9/$F$9</f>
        <v>1</v>
      </c>
      <c r="H9" s="11">
        <v>36</v>
      </c>
      <c r="I9" s="30">
        <f>H9/$H$9</f>
        <v>1</v>
      </c>
    </row>
    <row r="10" spans="1:9" ht="12.75">
      <c r="A10" s="4">
        <v>10</v>
      </c>
      <c r="B10" s="11">
        <v>90</v>
      </c>
      <c r="C10" s="69">
        <v>90</v>
      </c>
      <c r="D10" s="11">
        <v>60</v>
      </c>
      <c r="E10" s="30">
        <f aca="true" t="shared" si="0" ref="E10:E19">D10/$D$9</f>
        <v>0.9090909090909091</v>
      </c>
      <c r="F10" s="11">
        <v>41</v>
      </c>
      <c r="G10" s="30">
        <f aca="true" t="shared" si="1" ref="G10:G19">F10/$F$9</f>
        <v>0.8913043478260869</v>
      </c>
      <c r="H10" s="11">
        <v>32</v>
      </c>
      <c r="I10" s="30">
        <f aca="true" t="shared" si="2" ref="I10:I19">H10/$H$9</f>
        <v>0.8888888888888888</v>
      </c>
    </row>
    <row r="11" spans="1:9" ht="12.75">
      <c r="A11" s="4">
        <v>20</v>
      </c>
      <c r="B11" s="11">
        <v>80</v>
      </c>
      <c r="C11" s="69">
        <v>80</v>
      </c>
      <c r="D11" s="11">
        <v>53</v>
      </c>
      <c r="E11" s="30">
        <f t="shared" si="0"/>
        <v>0.803030303030303</v>
      </c>
      <c r="F11" s="11">
        <v>37</v>
      </c>
      <c r="G11" s="30">
        <f t="shared" si="1"/>
        <v>0.8043478260869565</v>
      </c>
      <c r="H11" s="11">
        <v>29</v>
      </c>
      <c r="I11" s="30">
        <f t="shared" si="2"/>
        <v>0.8055555555555556</v>
      </c>
    </row>
    <row r="12" spans="1:9" ht="12.75">
      <c r="A12" s="4">
        <v>30</v>
      </c>
      <c r="B12" s="11">
        <v>70</v>
      </c>
      <c r="C12" s="69">
        <v>70</v>
      </c>
      <c r="D12" s="11">
        <v>46</v>
      </c>
      <c r="E12" s="30">
        <f t="shared" si="0"/>
        <v>0.696969696969697</v>
      </c>
      <c r="F12" s="11">
        <v>32</v>
      </c>
      <c r="G12" s="30">
        <f t="shared" si="1"/>
        <v>0.6956521739130435</v>
      </c>
      <c r="H12" s="11">
        <v>25</v>
      </c>
      <c r="I12" s="30">
        <f t="shared" si="2"/>
        <v>0.6944444444444444</v>
      </c>
    </row>
    <row r="13" spans="1:9" ht="12.75">
      <c r="A13" s="4">
        <v>40</v>
      </c>
      <c r="B13" s="11">
        <v>60</v>
      </c>
      <c r="C13" s="69">
        <v>60</v>
      </c>
      <c r="D13" s="11">
        <v>40</v>
      </c>
      <c r="E13" s="30">
        <f t="shared" si="0"/>
        <v>0.6060606060606061</v>
      </c>
      <c r="F13" s="11">
        <v>28</v>
      </c>
      <c r="G13" s="30">
        <f t="shared" si="1"/>
        <v>0.6086956521739131</v>
      </c>
      <c r="H13" s="11">
        <v>22</v>
      </c>
      <c r="I13" s="30">
        <f t="shared" si="2"/>
        <v>0.6111111111111112</v>
      </c>
    </row>
    <row r="14" spans="1:9" ht="12.75">
      <c r="A14" s="4">
        <v>50</v>
      </c>
      <c r="B14" s="11">
        <v>50</v>
      </c>
      <c r="C14" s="69">
        <v>50</v>
      </c>
      <c r="D14" s="11">
        <v>33</v>
      </c>
      <c r="E14" s="30">
        <f t="shared" si="0"/>
        <v>0.5</v>
      </c>
      <c r="F14" s="11">
        <v>23</v>
      </c>
      <c r="G14" s="30">
        <f t="shared" si="1"/>
        <v>0.5</v>
      </c>
      <c r="H14" s="11">
        <v>18</v>
      </c>
      <c r="I14" s="30">
        <f t="shared" si="2"/>
        <v>0.5</v>
      </c>
    </row>
    <row r="15" spans="1:9" ht="12.75">
      <c r="A15" s="4">
        <v>60</v>
      </c>
      <c r="B15" s="11">
        <v>40</v>
      </c>
      <c r="C15" s="69">
        <v>40</v>
      </c>
      <c r="D15" s="11">
        <v>26</v>
      </c>
      <c r="E15" s="30">
        <f t="shared" si="0"/>
        <v>0.3939393939393939</v>
      </c>
      <c r="F15" s="11">
        <v>18</v>
      </c>
      <c r="G15" s="30">
        <f t="shared" si="1"/>
        <v>0.391304347826087</v>
      </c>
      <c r="H15" s="11">
        <v>14</v>
      </c>
      <c r="I15" s="30">
        <f t="shared" si="2"/>
        <v>0.3888888888888889</v>
      </c>
    </row>
    <row r="16" spans="1:9" ht="12.75">
      <c r="A16" s="4">
        <v>70</v>
      </c>
      <c r="B16" s="11">
        <v>30</v>
      </c>
      <c r="C16" s="69">
        <v>30</v>
      </c>
      <c r="D16" s="11">
        <v>20</v>
      </c>
      <c r="E16" s="30">
        <f t="shared" si="0"/>
        <v>0.30303030303030304</v>
      </c>
      <c r="F16" s="11">
        <v>14</v>
      </c>
      <c r="G16" s="30">
        <f t="shared" si="1"/>
        <v>0.30434782608695654</v>
      </c>
      <c r="H16" s="11">
        <v>11</v>
      </c>
      <c r="I16" s="30">
        <f t="shared" si="2"/>
        <v>0.3055555555555556</v>
      </c>
    </row>
    <row r="17" spans="1:9" ht="12.75">
      <c r="A17" s="4">
        <v>80</v>
      </c>
      <c r="B17" s="11">
        <v>20</v>
      </c>
      <c r="C17" s="69">
        <v>20</v>
      </c>
      <c r="D17" s="11">
        <v>13</v>
      </c>
      <c r="E17" s="30">
        <f t="shared" si="0"/>
        <v>0.19696969696969696</v>
      </c>
      <c r="F17" s="11">
        <v>9</v>
      </c>
      <c r="G17" s="30">
        <f t="shared" si="1"/>
        <v>0.1956521739130435</v>
      </c>
      <c r="H17" s="11">
        <v>7</v>
      </c>
      <c r="I17" s="30">
        <f t="shared" si="2"/>
        <v>0.19444444444444445</v>
      </c>
    </row>
    <row r="18" spans="1:9" ht="12.75">
      <c r="A18" s="4">
        <v>90</v>
      </c>
      <c r="B18" s="11">
        <v>10</v>
      </c>
      <c r="C18" s="69">
        <v>10</v>
      </c>
      <c r="D18" s="11">
        <v>7</v>
      </c>
      <c r="E18" s="30">
        <f t="shared" si="0"/>
        <v>0.10606060606060606</v>
      </c>
      <c r="F18" s="11">
        <v>5</v>
      </c>
      <c r="G18" s="30">
        <f t="shared" si="1"/>
        <v>0.10869565217391304</v>
      </c>
      <c r="H18" s="11">
        <v>4</v>
      </c>
      <c r="I18" s="30">
        <f t="shared" si="2"/>
        <v>0.1111111111111111</v>
      </c>
    </row>
    <row r="19" spans="1:9" ht="12.75">
      <c r="A19" s="4">
        <v>100</v>
      </c>
      <c r="B19" s="11">
        <v>0</v>
      </c>
      <c r="C19" s="69">
        <f>B19/$B$9</f>
        <v>0</v>
      </c>
      <c r="D19" s="11">
        <v>0</v>
      </c>
      <c r="E19" s="30">
        <f t="shared" si="0"/>
        <v>0</v>
      </c>
      <c r="F19" s="11">
        <v>0</v>
      </c>
      <c r="G19" s="30">
        <f t="shared" si="1"/>
        <v>0</v>
      </c>
      <c r="H19" s="11">
        <v>0</v>
      </c>
      <c r="I19" s="30">
        <f t="shared" si="2"/>
        <v>0</v>
      </c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</sheetData>
  <sheetProtection password="E902" sheet="1" objects="1" scenarios="1"/>
  <mergeCells count="1">
    <mergeCell ref="E3:F3"/>
  </mergeCells>
  <printOptions/>
  <pageMargins left="0.75" right="0.75" top="0.67" bottom="0.53" header="0.5" footer="0.5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sblick</dc:creator>
  <cp:keywords/>
  <dc:description/>
  <cp:lastModifiedBy>Hutchison, John</cp:lastModifiedBy>
  <cp:lastPrinted>2016-01-07T17:34:33Z</cp:lastPrinted>
  <dcterms:created xsi:type="dcterms:W3CDTF">2004-11-24T14:23:03Z</dcterms:created>
  <dcterms:modified xsi:type="dcterms:W3CDTF">2020-01-24T22:09:54Z</dcterms:modified>
  <cp:category/>
  <cp:version/>
  <cp:contentType/>
  <cp:contentStatus/>
</cp:coreProperties>
</file>